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50" yWindow="90" windowWidth="9180" windowHeight="8700" activeTab="3"/>
  </bookViews>
  <sheets>
    <sheet name="pingresos2018" sheetId="1" r:id="rId1"/>
    <sheet name="RESUMEN 2018" sheetId="2" r:id="rId2"/>
    <sheet name="proggastos 2018" sheetId="3" r:id="rId3"/>
    <sheet name="ecgastos 2018" sheetId="4" r:id="rId4"/>
  </sheets>
  <definedNames>
    <definedName name="Z_4A056693_7DCB_4AEF_AE29_22F0297A0964_.wvu.Cols" localSheetId="3" hidden="1">'ecgastos 2018'!$D:$S</definedName>
    <definedName name="Z_4A056693_7DCB_4AEF_AE29_22F0297A0964_.wvu.Cols" localSheetId="0" hidden="1">pingresos2018!$C:$L,pingresos2018!$N:$N</definedName>
    <definedName name="Z_4A056693_7DCB_4AEF_AE29_22F0297A0964_.wvu.Cols" localSheetId="2" hidden="1">'proggastos 2018'!$D:$S</definedName>
    <definedName name="Z_4A056693_7DCB_4AEF_AE29_22F0297A0964_.wvu.Cols" localSheetId="1" hidden="1">'RESUMEN 2018'!$C:$H</definedName>
  </definedNames>
  <calcPr calcId="125725"/>
  <customWorkbookViews>
    <customWorkbookView name="administrador - Vista personalizada" guid="{4A056693-7DCB-4AEF-AE29-22F0297A0964}" mergeInterval="0" personalView="1" maximized="1" xWindow="1" yWindow="1" windowWidth="1916" windowHeight="862" activeSheetId="2"/>
  </customWorkbookViews>
</workbook>
</file>

<file path=xl/calcChain.xml><?xml version="1.0" encoding="utf-8"?>
<calcChain xmlns="http://schemas.openxmlformats.org/spreadsheetml/2006/main">
  <c r="AD637" i="4"/>
  <c r="AD783"/>
  <c r="AD583" i="3"/>
  <c r="AD589"/>
  <c r="AD632" i="4"/>
  <c r="AD456" i="3"/>
  <c r="AD623" i="4"/>
  <c r="X623"/>
  <c r="H623"/>
  <c r="J623" s="1"/>
  <c r="F623"/>
  <c r="AD851"/>
  <c r="AD130" i="3"/>
  <c r="AD119"/>
  <c r="AD641" i="4"/>
  <c r="AD642" i="3"/>
  <c r="AD325" i="4"/>
  <c r="AD46" i="3"/>
  <c r="AE46" s="1"/>
  <c r="AF46" s="1"/>
  <c r="H632" i="4"/>
  <c r="J632" s="1"/>
  <c r="F632"/>
  <c r="AD671"/>
  <c r="AA671"/>
  <c r="V671"/>
  <c r="W671" s="1"/>
  <c r="Y671" s="1"/>
  <c r="AD368" i="3"/>
  <c r="AD326" i="4"/>
  <c r="AE326" s="1"/>
  <c r="AF326" s="1"/>
  <c r="AD238" i="3"/>
  <c r="AE238" s="1"/>
  <c r="AF238" s="1"/>
  <c r="L623" i="4" l="1"/>
  <c r="N623" s="1"/>
  <c r="Q623" s="1"/>
  <c r="T623" s="1"/>
  <c r="AE325"/>
  <c r="AF325" s="1"/>
  <c r="L632"/>
  <c r="N632" s="1"/>
  <c r="Q632" s="1"/>
  <c r="T632" s="1"/>
  <c r="U632" s="1"/>
  <c r="V632" s="1"/>
  <c r="W632" s="1"/>
  <c r="Z671"/>
  <c r="V623" l="1"/>
  <c r="W623" s="1"/>
  <c r="Y632"/>
  <c r="Z632" s="1"/>
  <c r="AB671"/>
  <c r="AC671" s="1"/>
  <c r="Y623" l="1"/>
  <c r="Z623" s="1"/>
  <c r="AB632"/>
  <c r="AC632" s="1"/>
  <c r="AE671"/>
  <c r="AF671" s="1"/>
  <c r="AB623" l="1"/>
  <c r="AC623" s="1"/>
  <c r="AE632"/>
  <c r="AF632" s="1"/>
  <c r="AE623" l="1"/>
  <c r="AF623" s="1"/>
  <c r="AD666"/>
  <c r="T666"/>
  <c r="AD214" i="3"/>
  <c r="AD600" i="4"/>
  <c r="H600"/>
  <c r="J600" s="1"/>
  <c r="F600"/>
  <c r="AD211" i="3"/>
  <c r="AD609" i="4"/>
  <c r="H609"/>
  <c r="J609" s="1"/>
  <c r="F609"/>
  <c r="AD514" i="3"/>
  <c r="AD783"/>
  <c r="AB660" i="4"/>
  <c r="AC660" s="1"/>
  <c r="U90" i="1"/>
  <c r="AE816" i="4"/>
  <c r="AF816" s="1"/>
  <c r="AE520" i="3"/>
  <c r="AF520" s="1"/>
  <c r="AE428"/>
  <c r="AF428" s="1"/>
  <c r="AD124"/>
  <c r="AA124"/>
  <c r="S124"/>
  <c r="T124" s="1"/>
  <c r="AD809" i="4"/>
  <c r="AD536"/>
  <c r="AD56" i="3"/>
  <c r="L600" i="4" l="1"/>
  <c r="N600" s="1"/>
  <c r="Q600" s="1"/>
  <c r="T600" s="1"/>
  <c r="U600" s="1"/>
  <c r="V600" s="1"/>
  <c r="W600" s="1"/>
  <c r="L609"/>
  <c r="N609" s="1"/>
  <c r="Q609" s="1"/>
  <c r="T609" s="1"/>
  <c r="U609" s="1"/>
  <c r="V609" s="1"/>
  <c r="W609" s="1"/>
  <c r="U666"/>
  <c r="V666" s="1"/>
  <c r="W666" s="1"/>
  <c r="AE660"/>
  <c r="AF660" s="1"/>
  <c r="V124" i="3"/>
  <c r="W124" s="1"/>
  <c r="Y666" i="4" l="1"/>
  <c r="Z666" s="1"/>
  <c r="Y600"/>
  <c r="Z600" s="1"/>
  <c r="Y609"/>
  <c r="Z609" s="1"/>
  <c r="Y124" i="3"/>
  <c r="Z124" s="1"/>
  <c r="AB666" i="4" l="1"/>
  <c r="AC666" s="1"/>
  <c r="AB600"/>
  <c r="AC600" s="1"/>
  <c r="AB609"/>
  <c r="AC609" s="1"/>
  <c r="AB124" i="3"/>
  <c r="AC124" s="1"/>
  <c r="AE666" i="4" l="1"/>
  <c r="AF666" s="1"/>
  <c r="AE600"/>
  <c r="AF600" s="1"/>
  <c r="AE609"/>
  <c r="AF609" s="1"/>
  <c r="AE124" i="3"/>
  <c r="AF124" s="1"/>
  <c r="AE823" i="4" l="1"/>
  <c r="AF823" s="1"/>
  <c r="AD810" l="1"/>
  <c r="AE810" s="1"/>
  <c r="AF810" s="1"/>
  <c r="AD135" i="3"/>
  <c r="AD618" i="4"/>
  <c r="AD28" i="3"/>
  <c r="AD663" i="4"/>
  <c r="AD59" i="3"/>
  <c r="AD789" i="4"/>
  <c r="AD550" i="3"/>
  <c r="AD848" i="4"/>
  <c r="AD495" i="3"/>
  <c r="AD825" i="4"/>
  <c r="XEW810"/>
  <c r="XEX810" s="1"/>
  <c r="XEY810" s="1"/>
  <c r="XDQ810"/>
  <c r="XDR810" s="1"/>
  <c r="XDS810" s="1"/>
  <c r="XCK810"/>
  <c r="XCL810" s="1"/>
  <c r="XCM810" s="1"/>
  <c r="XBE810"/>
  <c r="XBF810" s="1"/>
  <c r="XBG810" s="1"/>
  <c r="WZY810"/>
  <c r="WZZ810" s="1"/>
  <c r="XAA810" s="1"/>
  <c r="WYS810"/>
  <c r="WYT810" s="1"/>
  <c r="WYU810" s="1"/>
  <c r="WXM810"/>
  <c r="WXN810" s="1"/>
  <c r="WXO810" s="1"/>
  <c r="WWG810"/>
  <c r="WWH810" s="1"/>
  <c r="WWI810" s="1"/>
  <c r="WVA810"/>
  <c r="WVB810" s="1"/>
  <c r="WVC810" s="1"/>
  <c r="WTU810"/>
  <c r="WTV810" s="1"/>
  <c r="WTW810" s="1"/>
  <c r="WSO810"/>
  <c r="WSP810" s="1"/>
  <c r="WSQ810" s="1"/>
  <c r="WRI810"/>
  <c r="WRJ810" s="1"/>
  <c r="WRK810" s="1"/>
  <c r="WQC810"/>
  <c r="WQD810" s="1"/>
  <c r="WQE810" s="1"/>
  <c r="WOW810"/>
  <c r="WOX810" s="1"/>
  <c r="WOY810" s="1"/>
  <c r="WNQ810"/>
  <c r="WNR810" s="1"/>
  <c r="WNS810" s="1"/>
  <c r="WMK810"/>
  <c r="WML810" s="1"/>
  <c r="WMM810" s="1"/>
  <c r="WLE810"/>
  <c r="WLF810" s="1"/>
  <c r="WLG810" s="1"/>
  <c r="WJY810"/>
  <c r="WJZ810" s="1"/>
  <c r="WKA810" s="1"/>
  <c r="WIS810"/>
  <c r="WIT810" s="1"/>
  <c r="WIU810" s="1"/>
  <c r="WHM810"/>
  <c r="WHN810" s="1"/>
  <c r="WHO810" s="1"/>
  <c r="WGG810"/>
  <c r="WGH810" s="1"/>
  <c r="WGI810" s="1"/>
  <c r="WFA810"/>
  <c r="WFB810" s="1"/>
  <c r="WFC810" s="1"/>
  <c r="WDU810"/>
  <c r="WDV810" s="1"/>
  <c r="WDW810" s="1"/>
  <c r="WCO810"/>
  <c r="WCP810" s="1"/>
  <c r="WCQ810" s="1"/>
  <c r="WBI810"/>
  <c r="WBJ810" s="1"/>
  <c r="WBK810" s="1"/>
  <c r="WAC810"/>
  <c r="WAD810" s="1"/>
  <c r="WAE810" s="1"/>
  <c r="VYW810"/>
  <c r="VYX810" s="1"/>
  <c r="VYY810" s="1"/>
  <c r="VXQ810"/>
  <c r="VXR810" s="1"/>
  <c r="VXS810" s="1"/>
  <c r="VWK810"/>
  <c r="VWL810" s="1"/>
  <c r="VWM810" s="1"/>
  <c r="VVE810"/>
  <c r="VVF810" s="1"/>
  <c r="VVG810" s="1"/>
  <c r="VTY810"/>
  <c r="VTZ810" s="1"/>
  <c r="VUA810" s="1"/>
  <c r="VSS810"/>
  <c r="VST810" s="1"/>
  <c r="VSU810" s="1"/>
  <c r="VRM810"/>
  <c r="VRN810" s="1"/>
  <c r="VRO810" s="1"/>
  <c r="VQG810"/>
  <c r="VQH810" s="1"/>
  <c r="VQI810" s="1"/>
  <c r="VPA810"/>
  <c r="VPB810" s="1"/>
  <c r="VPC810" s="1"/>
  <c r="VNU810"/>
  <c r="VNV810" s="1"/>
  <c r="VNW810" s="1"/>
  <c r="VMO810"/>
  <c r="VMP810" s="1"/>
  <c r="VMQ810" s="1"/>
  <c r="VLI810"/>
  <c r="VLJ810" s="1"/>
  <c r="VLK810" s="1"/>
  <c r="VKC810"/>
  <c r="VKD810" s="1"/>
  <c r="VKE810" s="1"/>
  <c r="VIW810"/>
  <c r="VIX810" s="1"/>
  <c r="VIY810" s="1"/>
  <c r="VHQ810"/>
  <c r="VHR810" s="1"/>
  <c r="VHS810" s="1"/>
  <c r="VGK810"/>
  <c r="VGL810" s="1"/>
  <c r="VGM810" s="1"/>
  <c r="VFE810"/>
  <c r="VFF810" s="1"/>
  <c r="VFG810" s="1"/>
  <c r="VDY810"/>
  <c r="VDZ810" s="1"/>
  <c r="VEA810" s="1"/>
  <c r="VCS810"/>
  <c r="VCT810" s="1"/>
  <c r="VCU810" s="1"/>
  <c r="VBM810"/>
  <c r="VBN810" s="1"/>
  <c r="VBO810" s="1"/>
  <c r="VAG810"/>
  <c r="VAH810" s="1"/>
  <c r="VAI810" s="1"/>
  <c r="UZA810"/>
  <c r="UZB810" s="1"/>
  <c r="UZC810" s="1"/>
  <c r="UXU810"/>
  <c r="UXV810" s="1"/>
  <c r="UXW810" s="1"/>
  <c r="UWO810"/>
  <c r="UWP810" s="1"/>
  <c r="UWQ810" s="1"/>
  <c r="UVI810"/>
  <c r="UVJ810" s="1"/>
  <c r="UVK810" s="1"/>
  <c r="UUC810"/>
  <c r="UUD810" s="1"/>
  <c r="UUE810" s="1"/>
  <c r="USW810"/>
  <c r="USX810" s="1"/>
  <c r="USY810" s="1"/>
  <c r="URQ810"/>
  <c r="URR810" s="1"/>
  <c r="URS810" s="1"/>
  <c r="UQK810"/>
  <c r="UQL810" s="1"/>
  <c r="UQM810" s="1"/>
  <c r="UPE810"/>
  <c r="UPF810" s="1"/>
  <c r="UPG810" s="1"/>
  <c r="UNY810"/>
  <c r="UNZ810" s="1"/>
  <c r="UOA810" s="1"/>
  <c r="UMS810"/>
  <c r="UMT810" s="1"/>
  <c r="UMU810" s="1"/>
  <c r="ULM810"/>
  <c r="ULN810" s="1"/>
  <c r="ULO810" s="1"/>
  <c r="UKG810"/>
  <c r="UKH810" s="1"/>
  <c r="UKI810" s="1"/>
  <c r="UJA810"/>
  <c r="UJB810" s="1"/>
  <c r="UJC810" s="1"/>
  <c r="UHU810"/>
  <c r="UHV810" s="1"/>
  <c r="UHW810" s="1"/>
  <c r="UGO810"/>
  <c r="UGP810" s="1"/>
  <c r="UGQ810" s="1"/>
  <c r="UFI810"/>
  <c r="UFJ810" s="1"/>
  <c r="UFK810" s="1"/>
  <c r="UEC810"/>
  <c r="UED810" s="1"/>
  <c r="UEE810" s="1"/>
  <c r="UCW810"/>
  <c r="UCX810" s="1"/>
  <c r="UCY810" s="1"/>
  <c r="UBQ810"/>
  <c r="UBR810" s="1"/>
  <c r="UBS810" s="1"/>
  <c r="UAK810"/>
  <c r="UAL810" s="1"/>
  <c r="UAM810" s="1"/>
  <c r="TZE810"/>
  <c r="TZF810" s="1"/>
  <c r="TZG810" s="1"/>
  <c r="TXY810"/>
  <c r="TXZ810" s="1"/>
  <c r="TYA810" s="1"/>
  <c r="TWS810"/>
  <c r="TWT810" s="1"/>
  <c r="TWU810" s="1"/>
  <c r="TVM810"/>
  <c r="TVN810" s="1"/>
  <c r="TVO810" s="1"/>
  <c r="TUG810"/>
  <c r="TUH810" s="1"/>
  <c r="TUI810" s="1"/>
  <c r="TTA810"/>
  <c r="TTB810" s="1"/>
  <c r="TTC810" s="1"/>
  <c r="TRU810"/>
  <c r="TRV810" s="1"/>
  <c r="TRW810" s="1"/>
  <c r="TQO810"/>
  <c r="TQP810" s="1"/>
  <c r="TQQ810" s="1"/>
  <c r="TPI810"/>
  <c r="TPJ810" s="1"/>
  <c r="TPK810" s="1"/>
  <c r="TOC810"/>
  <c r="TOD810" s="1"/>
  <c r="TOE810" s="1"/>
  <c r="TMW810"/>
  <c r="TMX810" s="1"/>
  <c r="TMY810" s="1"/>
  <c r="TLQ810"/>
  <c r="TLR810" s="1"/>
  <c r="TLS810" s="1"/>
  <c r="TKK810"/>
  <c r="TKL810" s="1"/>
  <c r="TKM810" s="1"/>
  <c r="TJE810"/>
  <c r="TJF810" s="1"/>
  <c r="TJG810" s="1"/>
  <c r="THY810"/>
  <c r="THZ810" s="1"/>
  <c r="TIA810" s="1"/>
  <c r="TGS810"/>
  <c r="TGT810" s="1"/>
  <c r="TGU810" s="1"/>
  <c r="TFM810"/>
  <c r="TFN810" s="1"/>
  <c r="TFO810" s="1"/>
  <c r="TEG810"/>
  <c r="TEH810" s="1"/>
  <c r="TEI810" s="1"/>
  <c r="TDA810"/>
  <c r="TDB810" s="1"/>
  <c r="TDC810" s="1"/>
  <c r="TBU810"/>
  <c r="TBV810" s="1"/>
  <c r="TBW810" s="1"/>
  <c r="TAO810"/>
  <c r="TAP810" s="1"/>
  <c r="TAQ810" s="1"/>
  <c r="SZI810"/>
  <c r="SZJ810" s="1"/>
  <c r="SZK810" s="1"/>
  <c r="SYC810"/>
  <c r="SYD810" s="1"/>
  <c r="SYE810" s="1"/>
  <c r="SWW810"/>
  <c r="SWX810" s="1"/>
  <c r="SWY810" s="1"/>
  <c r="SVQ810"/>
  <c r="SVR810" s="1"/>
  <c r="SVS810" s="1"/>
  <c r="SUK810"/>
  <c r="SUL810" s="1"/>
  <c r="SUM810" s="1"/>
  <c r="STE810"/>
  <c r="STF810" s="1"/>
  <c r="STG810" s="1"/>
  <c r="SRY810"/>
  <c r="SRZ810" s="1"/>
  <c r="SSA810" s="1"/>
  <c r="SQS810"/>
  <c r="SQT810" s="1"/>
  <c r="SQU810" s="1"/>
  <c r="SPM810"/>
  <c r="SPN810" s="1"/>
  <c r="SPO810" s="1"/>
  <c r="SOG810"/>
  <c r="SOH810" s="1"/>
  <c r="SOI810" s="1"/>
  <c r="SNA810"/>
  <c r="SNB810" s="1"/>
  <c r="SNC810" s="1"/>
  <c r="SLU810"/>
  <c r="SLV810" s="1"/>
  <c r="SLW810" s="1"/>
  <c r="SKO810"/>
  <c r="SKP810" s="1"/>
  <c r="SKQ810" s="1"/>
  <c r="SJI810"/>
  <c r="SJJ810" s="1"/>
  <c r="SJK810" s="1"/>
  <c r="SIC810"/>
  <c r="SID810" s="1"/>
  <c r="SIE810" s="1"/>
  <c r="SGW810"/>
  <c r="SGX810" s="1"/>
  <c r="SGY810" s="1"/>
  <c r="SFQ810"/>
  <c r="SFR810" s="1"/>
  <c r="SFS810" s="1"/>
  <c r="SEK810"/>
  <c r="SEL810" s="1"/>
  <c r="SEM810" s="1"/>
  <c r="SDE810"/>
  <c r="SDF810" s="1"/>
  <c r="SDG810" s="1"/>
  <c r="SBY810"/>
  <c r="SBZ810" s="1"/>
  <c r="SCA810" s="1"/>
  <c r="SAS810"/>
  <c r="SAT810" s="1"/>
  <c r="SAU810" s="1"/>
  <c r="RZM810"/>
  <c r="RZN810" s="1"/>
  <c r="RZO810" s="1"/>
  <c r="RYG810"/>
  <c r="RYH810" s="1"/>
  <c r="RYI810" s="1"/>
  <c r="RXA810"/>
  <c r="RXB810" s="1"/>
  <c r="RXC810" s="1"/>
  <c r="RVU810"/>
  <c r="RVV810" s="1"/>
  <c r="RVW810" s="1"/>
  <c r="RUO810"/>
  <c r="RUP810" s="1"/>
  <c r="RUQ810" s="1"/>
  <c r="RTI810"/>
  <c r="RTJ810" s="1"/>
  <c r="RTK810" s="1"/>
  <c r="RSC810"/>
  <c r="RSD810" s="1"/>
  <c r="RSE810" s="1"/>
  <c r="RQW810"/>
  <c r="RQX810" s="1"/>
  <c r="RQY810" s="1"/>
  <c r="RPQ810"/>
  <c r="RPR810" s="1"/>
  <c r="RPS810" s="1"/>
  <c r="ROK810"/>
  <c r="ROL810" s="1"/>
  <c r="ROM810" s="1"/>
  <c r="RNE810"/>
  <c r="RNF810" s="1"/>
  <c r="RNG810" s="1"/>
  <c r="RLY810"/>
  <c r="RLZ810" s="1"/>
  <c r="RMA810" s="1"/>
  <c r="RKS810"/>
  <c r="RKT810" s="1"/>
  <c r="RKU810" s="1"/>
  <c r="RJM810"/>
  <c r="RJN810" s="1"/>
  <c r="RJO810" s="1"/>
  <c r="RIG810"/>
  <c r="RIH810" s="1"/>
  <c r="RII810" s="1"/>
  <c r="RHA810"/>
  <c r="RHB810" s="1"/>
  <c r="RHC810" s="1"/>
  <c r="RFU810"/>
  <c r="RFV810" s="1"/>
  <c r="RFW810" s="1"/>
  <c r="REO810"/>
  <c r="REP810" s="1"/>
  <c r="REQ810" s="1"/>
  <c r="RDI810"/>
  <c r="RDJ810" s="1"/>
  <c r="RDK810" s="1"/>
  <c r="RCC810"/>
  <c r="RCD810" s="1"/>
  <c r="RCE810" s="1"/>
  <c r="RAW810"/>
  <c r="RAX810" s="1"/>
  <c r="RAY810" s="1"/>
  <c r="QZQ810"/>
  <c r="QZR810" s="1"/>
  <c r="QZS810" s="1"/>
  <c r="QYK810"/>
  <c r="QYL810" s="1"/>
  <c r="QYM810" s="1"/>
  <c r="QXE810"/>
  <c r="QXF810" s="1"/>
  <c r="QXG810" s="1"/>
  <c r="QVY810"/>
  <c r="QVZ810" s="1"/>
  <c r="QWA810" s="1"/>
  <c r="QUS810"/>
  <c r="QUT810" s="1"/>
  <c r="QUU810" s="1"/>
  <c r="QTM810"/>
  <c r="QTN810" s="1"/>
  <c r="QTO810" s="1"/>
  <c r="QSG810"/>
  <c r="QSH810" s="1"/>
  <c r="QSI810" s="1"/>
  <c r="QRA810"/>
  <c r="QRB810" s="1"/>
  <c r="QRC810" s="1"/>
  <c r="QPU810"/>
  <c r="QPV810" s="1"/>
  <c r="QPW810" s="1"/>
  <c r="QOO810"/>
  <c r="QOP810" s="1"/>
  <c r="QOQ810" s="1"/>
  <c r="QNI810"/>
  <c r="QNJ810" s="1"/>
  <c r="QNK810" s="1"/>
  <c r="QMC810"/>
  <c r="QMD810" s="1"/>
  <c r="QME810" s="1"/>
  <c r="QKW810"/>
  <c r="QKX810" s="1"/>
  <c r="QKY810" s="1"/>
  <c r="QJQ810"/>
  <c r="QJR810" s="1"/>
  <c r="QJS810" s="1"/>
  <c r="QIK810"/>
  <c r="QIL810" s="1"/>
  <c r="QIM810" s="1"/>
  <c r="QHE810"/>
  <c r="QHF810" s="1"/>
  <c r="QHG810" s="1"/>
  <c r="QFY810"/>
  <c r="QFZ810" s="1"/>
  <c r="QGA810" s="1"/>
  <c r="QES810"/>
  <c r="QET810" s="1"/>
  <c r="QEU810" s="1"/>
  <c r="QDM810"/>
  <c r="QDN810" s="1"/>
  <c r="QDO810" s="1"/>
  <c r="QCG810"/>
  <c r="QCH810" s="1"/>
  <c r="QCI810" s="1"/>
  <c r="QBA810"/>
  <c r="QBB810" s="1"/>
  <c r="QBC810" s="1"/>
  <c r="PZU810"/>
  <c r="PZV810" s="1"/>
  <c r="PZW810" s="1"/>
  <c r="PYO810"/>
  <c r="PYP810" s="1"/>
  <c r="PYQ810" s="1"/>
  <c r="PXI810"/>
  <c r="PXJ810" s="1"/>
  <c r="PXK810" s="1"/>
  <c r="PWC810"/>
  <c r="PWD810" s="1"/>
  <c r="PWE810" s="1"/>
  <c r="PUW810"/>
  <c r="PUX810" s="1"/>
  <c r="PUY810" s="1"/>
  <c r="PTQ810"/>
  <c r="PTR810" s="1"/>
  <c r="PTS810" s="1"/>
  <c r="PSK810"/>
  <c r="PSL810" s="1"/>
  <c r="PSM810" s="1"/>
  <c r="PRE810"/>
  <c r="PRF810" s="1"/>
  <c r="PRG810" s="1"/>
  <c r="PPY810"/>
  <c r="PPZ810" s="1"/>
  <c r="PQA810" s="1"/>
  <c r="POS810"/>
  <c r="POT810" s="1"/>
  <c r="POU810" s="1"/>
  <c r="PNM810"/>
  <c r="PNN810" s="1"/>
  <c r="PNO810" s="1"/>
  <c r="PMG810"/>
  <c r="PMH810" s="1"/>
  <c r="PMI810" s="1"/>
  <c r="PLA810"/>
  <c r="PLB810" s="1"/>
  <c r="PLC810" s="1"/>
  <c r="PJU810"/>
  <c r="PJV810" s="1"/>
  <c r="PJW810" s="1"/>
  <c r="PIO810"/>
  <c r="PIP810" s="1"/>
  <c r="PIQ810" s="1"/>
  <c r="PHI810"/>
  <c r="PHJ810" s="1"/>
  <c r="PHK810" s="1"/>
  <c r="PGC810"/>
  <c r="PGD810" s="1"/>
  <c r="PGE810" s="1"/>
  <c r="PEW810"/>
  <c r="PEX810" s="1"/>
  <c r="PEY810" s="1"/>
  <c r="PDQ810"/>
  <c r="PDR810" s="1"/>
  <c r="PDS810" s="1"/>
  <c r="PCK810"/>
  <c r="PCL810" s="1"/>
  <c r="PCM810" s="1"/>
  <c r="PBE810"/>
  <c r="PBF810" s="1"/>
  <c r="PBG810" s="1"/>
  <c r="OZY810"/>
  <c r="OZZ810" s="1"/>
  <c r="PAA810" s="1"/>
  <c r="OYS810"/>
  <c r="OYT810" s="1"/>
  <c r="OYU810" s="1"/>
  <c r="OXM810"/>
  <c r="OXN810" s="1"/>
  <c r="OXO810" s="1"/>
  <c r="OWG810"/>
  <c r="OWH810" s="1"/>
  <c r="OWI810" s="1"/>
  <c r="OVA810"/>
  <c r="OVB810" s="1"/>
  <c r="OVC810" s="1"/>
  <c r="OTU810"/>
  <c r="OTV810" s="1"/>
  <c r="OTW810" s="1"/>
  <c r="OSO810"/>
  <c r="OSP810" s="1"/>
  <c r="OSQ810" s="1"/>
  <c r="ORI810"/>
  <c r="ORJ810" s="1"/>
  <c r="ORK810" s="1"/>
  <c r="OQC810"/>
  <c r="OQD810" s="1"/>
  <c r="OQE810" s="1"/>
  <c r="OOW810"/>
  <c r="OOX810" s="1"/>
  <c r="OOY810" s="1"/>
  <c r="ONQ810"/>
  <c r="ONR810" s="1"/>
  <c r="ONS810" s="1"/>
  <c r="OMK810"/>
  <c r="OML810" s="1"/>
  <c r="OMM810" s="1"/>
  <c r="OLE810"/>
  <c r="OLF810" s="1"/>
  <c r="OLG810" s="1"/>
  <c r="OJY810"/>
  <c r="OJZ810" s="1"/>
  <c r="OKA810" s="1"/>
  <c r="OIS810"/>
  <c r="OIT810" s="1"/>
  <c r="OIU810" s="1"/>
  <c r="OHM810"/>
  <c r="OHN810" s="1"/>
  <c r="OHO810" s="1"/>
  <c r="OGG810"/>
  <c r="OGH810" s="1"/>
  <c r="OGI810" s="1"/>
  <c r="OFA810"/>
  <c r="OFB810" s="1"/>
  <c r="OFC810" s="1"/>
  <c r="ODU810"/>
  <c r="ODV810" s="1"/>
  <c r="ODW810" s="1"/>
  <c r="OCO810"/>
  <c r="OCP810" s="1"/>
  <c r="OCQ810" s="1"/>
  <c r="OBI810"/>
  <c r="OBJ810" s="1"/>
  <c r="OBK810" s="1"/>
  <c r="OAC810"/>
  <c r="OAD810" s="1"/>
  <c r="OAE810" s="1"/>
  <c r="NYW810"/>
  <c r="NYX810" s="1"/>
  <c r="NYY810" s="1"/>
  <c r="NXQ810"/>
  <c r="NXR810" s="1"/>
  <c r="NXS810" s="1"/>
  <c r="NWK810"/>
  <c r="NWL810" s="1"/>
  <c r="NWM810" s="1"/>
  <c r="NVE810"/>
  <c r="NVF810" s="1"/>
  <c r="NVG810" s="1"/>
  <c r="NTY810"/>
  <c r="NTZ810" s="1"/>
  <c r="NUA810" s="1"/>
  <c r="NSS810"/>
  <c r="NST810" s="1"/>
  <c r="NSU810" s="1"/>
  <c r="NRM810"/>
  <c r="NRN810" s="1"/>
  <c r="NRO810" s="1"/>
  <c r="NQG810"/>
  <c r="NQH810" s="1"/>
  <c r="NQI810" s="1"/>
  <c r="NPA810"/>
  <c r="NPB810" s="1"/>
  <c r="NPC810" s="1"/>
  <c r="NNU810"/>
  <c r="NNV810" s="1"/>
  <c r="NNW810" s="1"/>
  <c r="NMO810"/>
  <c r="NMP810" s="1"/>
  <c r="NMQ810" s="1"/>
  <c r="NLI810"/>
  <c r="NLJ810" s="1"/>
  <c r="NLK810" s="1"/>
  <c r="NKC810"/>
  <c r="NKD810" s="1"/>
  <c r="NKE810" s="1"/>
  <c r="NIW810"/>
  <c r="NIX810" s="1"/>
  <c r="NIY810" s="1"/>
  <c r="NHQ810"/>
  <c r="NHR810" s="1"/>
  <c r="NHS810" s="1"/>
  <c r="NGK810"/>
  <c r="NGL810" s="1"/>
  <c r="NGM810" s="1"/>
  <c r="NFE810"/>
  <c r="NFF810" s="1"/>
  <c r="NFG810" s="1"/>
  <c r="NDY810"/>
  <c r="NDZ810" s="1"/>
  <c r="NEA810" s="1"/>
  <c r="NCS810"/>
  <c r="NCT810" s="1"/>
  <c r="NCU810" s="1"/>
  <c r="NBM810"/>
  <c r="NBN810" s="1"/>
  <c r="NBO810" s="1"/>
  <c r="NAG810"/>
  <c r="NAH810" s="1"/>
  <c r="NAI810" s="1"/>
  <c r="MZA810"/>
  <c r="MZB810" s="1"/>
  <c r="MZC810" s="1"/>
  <c r="MXU810"/>
  <c r="MXV810" s="1"/>
  <c r="MXW810" s="1"/>
  <c r="MWO810"/>
  <c r="MWP810" s="1"/>
  <c r="MWQ810" s="1"/>
  <c r="MVI810"/>
  <c r="MVJ810" s="1"/>
  <c r="MVK810" s="1"/>
  <c r="MUC810"/>
  <c r="MUD810" s="1"/>
  <c r="MUE810" s="1"/>
  <c r="MSW810"/>
  <c r="MSX810" s="1"/>
  <c r="MSY810" s="1"/>
  <c r="MRQ810"/>
  <c r="MRR810" s="1"/>
  <c r="MRS810" s="1"/>
  <c r="MQK810"/>
  <c r="MQL810" s="1"/>
  <c r="MQM810" s="1"/>
  <c r="MPE810"/>
  <c r="MPF810" s="1"/>
  <c r="MPG810" s="1"/>
  <c r="MNY810"/>
  <c r="MNZ810" s="1"/>
  <c r="MOA810" s="1"/>
  <c r="MMS810"/>
  <c r="MMT810" s="1"/>
  <c r="MMU810" s="1"/>
  <c r="MLM810"/>
  <c r="MLN810" s="1"/>
  <c r="MLO810" s="1"/>
  <c r="MKG810"/>
  <c r="MKH810" s="1"/>
  <c r="MKI810" s="1"/>
  <c r="MJA810"/>
  <c r="MJB810" s="1"/>
  <c r="MJC810" s="1"/>
  <c r="MHU810"/>
  <c r="MHV810" s="1"/>
  <c r="MHW810" s="1"/>
  <c r="MGO810"/>
  <c r="MGP810" s="1"/>
  <c r="MGQ810" s="1"/>
  <c r="MFI810"/>
  <c r="MFJ810" s="1"/>
  <c r="MFK810" s="1"/>
  <c r="MEC810"/>
  <c r="MED810" s="1"/>
  <c r="MEE810" s="1"/>
  <c r="MCW810"/>
  <c r="MCX810" s="1"/>
  <c r="MCY810" s="1"/>
  <c r="MBQ810"/>
  <c r="MBR810" s="1"/>
  <c r="MBS810" s="1"/>
  <c r="MAK810"/>
  <c r="MAL810" s="1"/>
  <c r="MAM810" s="1"/>
  <c r="LZE810"/>
  <c r="LZF810" s="1"/>
  <c r="LZG810" s="1"/>
  <c r="LXY810"/>
  <c r="LXZ810" s="1"/>
  <c r="LYA810" s="1"/>
  <c r="LWS810"/>
  <c r="LWT810" s="1"/>
  <c r="LWU810" s="1"/>
  <c r="LVM810"/>
  <c r="LVN810" s="1"/>
  <c r="LVO810" s="1"/>
  <c r="LUG810"/>
  <c r="LUH810" s="1"/>
  <c r="LUI810" s="1"/>
  <c r="LTA810"/>
  <c r="LTB810" s="1"/>
  <c r="LTC810" s="1"/>
  <c r="LRU810"/>
  <c r="LRV810" s="1"/>
  <c r="LRW810" s="1"/>
  <c r="LQO810"/>
  <c r="LQP810" s="1"/>
  <c r="LQQ810" s="1"/>
  <c r="LPI810"/>
  <c r="LPJ810" s="1"/>
  <c r="LPK810" s="1"/>
  <c r="LOC810"/>
  <c r="LOD810" s="1"/>
  <c r="LOE810" s="1"/>
  <c r="LMW810"/>
  <c r="LMX810" s="1"/>
  <c r="LMY810" s="1"/>
  <c r="LLQ810"/>
  <c r="LLR810" s="1"/>
  <c r="LLS810" s="1"/>
  <c r="LKK810"/>
  <c r="LKL810" s="1"/>
  <c r="LKM810" s="1"/>
  <c r="LJE810"/>
  <c r="LJF810" s="1"/>
  <c r="LJG810" s="1"/>
  <c r="LHY810"/>
  <c r="LHZ810" s="1"/>
  <c r="LIA810" s="1"/>
  <c r="LGS810"/>
  <c r="LGT810" s="1"/>
  <c r="LGU810" s="1"/>
  <c r="LFM810"/>
  <c r="LFN810" s="1"/>
  <c r="LFO810" s="1"/>
  <c r="LEG810"/>
  <c r="LEH810" s="1"/>
  <c r="LEI810" s="1"/>
  <c r="LDA810"/>
  <c r="LDB810" s="1"/>
  <c r="LDC810" s="1"/>
  <c r="LBU810"/>
  <c r="LBV810" s="1"/>
  <c r="LBW810" s="1"/>
  <c r="LAO810"/>
  <c r="LAP810" s="1"/>
  <c r="LAQ810" s="1"/>
  <c r="KZI810"/>
  <c r="KZJ810" s="1"/>
  <c r="KZK810" s="1"/>
  <c r="KYC810"/>
  <c r="KYD810" s="1"/>
  <c r="KYE810" s="1"/>
  <c r="KWW810"/>
  <c r="KWX810" s="1"/>
  <c r="KWY810" s="1"/>
  <c r="KVQ810"/>
  <c r="KVR810" s="1"/>
  <c r="KVS810" s="1"/>
  <c r="KUK810"/>
  <c r="KUL810" s="1"/>
  <c r="KUM810" s="1"/>
  <c r="KTE810"/>
  <c r="KTF810" s="1"/>
  <c r="KTG810" s="1"/>
  <c r="KRY810"/>
  <c r="KRZ810" s="1"/>
  <c r="KSA810" s="1"/>
  <c r="KQS810"/>
  <c r="KQT810" s="1"/>
  <c r="KQU810" s="1"/>
  <c r="KPM810"/>
  <c r="KPN810" s="1"/>
  <c r="KPO810" s="1"/>
  <c r="KOG810"/>
  <c r="KOH810" s="1"/>
  <c r="KOI810" s="1"/>
  <c r="KNA810"/>
  <c r="KNB810" s="1"/>
  <c r="KNC810" s="1"/>
  <c r="KLU810"/>
  <c r="KLV810" s="1"/>
  <c r="KLW810" s="1"/>
  <c r="KKO810"/>
  <c r="KKP810" s="1"/>
  <c r="KKQ810" s="1"/>
  <c r="KJI810"/>
  <c r="KJJ810" s="1"/>
  <c r="KJK810" s="1"/>
  <c r="KIC810"/>
  <c r="KID810" s="1"/>
  <c r="KIE810" s="1"/>
  <c r="KGW810"/>
  <c r="KGX810" s="1"/>
  <c r="KGY810" s="1"/>
  <c r="KFQ810"/>
  <c r="KFR810" s="1"/>
  <c r="KFS810" s="1"/>
  <c r="KEK810"/>
  <c r="KEL810" s="1"/>
  <c r="KEM810" s="1"/>
  <c r="KDE810"/>
  <c r="KDF810" s="1"/>
  <c r="KDG810" s="1"/>
  <c r="KBY810"/>
  <c r="KBZ810" s="1"/>
  <c r="KCA810" s="1"/>
  <c r="KAS810"/>
  <c r="KAT810" s="1"/>
  <c r="KAU810" s="1"/>
  <c r="JZM810"/>
  <c r="JZN810" s="1"/>
  <c r="JZO810" s="1"/>
  <c r="JYG810"/>
  <c r="JYH810" s="1"/>
  <c r="JYI810" s="1"/>
  <c r="JXA810"/>
  <c r="JXB810" s="1"/>
  <c r="JXC810" s="1"/>
  <c r="JVU810"/>
  <c r="JVV810" s="1"/>
  <c r="JVW810" s="1"/>
  <c r="JUO810"/>
  <c r="JUP810" s="1"/>
  <c r="JUQ810" s="1"/>
  <c r="JTI810"/>
  <c r="JTJ810" s="1"/>
  <c r="JTK810" s="1"/>
  <c r="JSC810"/>
  <c r="JSD810" s="1"/>
  <c r="JSE810" s="1"/>
  <c r="JQW810"/>
  <c r="JQX810" s="1"/>
  <c r="JQY810" s="1"/>
  <c r="JPQ810"/>
  <c r="JPR810" s="1"/>
  <c r="JPS810" s="1"/>
  <c r="JOK810"/>
  <c r="JOL810" s="1"/>
  <c r="JOM810" s="1"/>
  <c r="JNE810"/>
  <c r="JNF810" s="1"/>
  <c r="JNG810" s="1"/>
  <c r="JLY810"/>
  <c r="JLZ810" s="1"/>
  <c r="JMA810" s="1"/>
  <c r="JKS810"/>
  <c r="JKT810" s="1"/>
  <c r="JKU810" s="1"/>
  <c r="JJM810"/>
  <c r="JJN810" s="1"/>
  <c r="JJO810" s="1"/>
  <c r="JIG810"/>
  <c r="JIH810" s="1"/>
  <c r="JII810" s="1"/>
  <c r="JHA810"/>
  <c r="JHB810" s="1"/>
  <c r="JHC810" s="1"/>
  <c r="JFU810"/>
  <c r="JFV810" s="1"/>
  <c r="JFW810" s="1"/>
  <c r="JEO810"/>
  <c r="JEP810" s="1"/>
  <c r="JEQ810" s="1"/>
  <c r="JDI810"/>
  <c r="JDJ810" s="1"/>
  <c r="JDK810" s="1"/>
  <c r="JCC810"/>
  <c r="JCD810" s="1"/>
  <c r="JCE810" s="1"/>
  <c r="JAW810"/>
  <c r="JAX810" s="1"/>
  <c r="JAY810" s="1"/>
  <c r="IZQ810"/>
  <c r="IZR810" s="1"/>
  <c r="IZS810" s="1"/>
  <c r="IYK810"/>
  <c r="IYL810" s="1"/>
  <c r="IYM810" s="1"/>
  <c r="IXE810"/>
  <c r="IXF810" s="1"/>
  <c r="IXG810" s="1"/>
  <c r="IVY810"/>
  <c r="IVZ810" s="1"/>
  <c r="IWA810" s="1"/>
  <c r="IUS810"/>
  <c r="IUT810" s="1"/>
  <c r="IUU810" s="1"/>
  <c r="ITM810"/>
  <c r="ITN810" s="1"/>
  <c r="ITO810" s="1"/>
  <c r="ISG810"/>
  <c r="ISH810" s="1"/>
  <c r="ISI810" s="1"/>
  <c r="IRA810"/>
  <c r="IRB810" s="1"/>
  <c r="IRC810" s="1"/>
  <c r="IPU810"/>
  <c r="IPV810" s="1"/>
  <c r="IPW810" s="1"/>
  <c r="IOO810"/>
  <c r="IOP810" s="1"/>
  <c r="IOQ810" s="1"/>
  <c r="INI810"/>
  <c r="INJ810" s="1"/>
  <c r="INK810" s="1"/>
  <c r="IMC810"/>
  <c r="IMD810" s="1"/>
  <c r="IME810" s="1"/>
  <c r="IKW810"/>
  <c r="IKX810" s="1"/>
  <c r="IKY810" s="1"/>
  <c r="IJQ810"/>
  <c r="IJR810" s="1"/>
  <c r="IJS810" s="1"/>
  <c r="IIK810"/>
  <c r="IIL810" s="1"/>
  <c r="IIM810" s="1"/>
  <c r="IHE810"/>
  <c r="IHF810" s="1"/>
  <c r="IHG810" s="1"/>
  <c r="IFY810"/>
  <c r="IFZ810" s="1"/>
  <c r="IGA810" s="1"/>
  <c r="IES810"/>
  <c r="IET810" s="1"/>
  <c r="IEU810" s="1"/>
  <c r="IDM810"/>
  <c r="IDN810" s="1"/>
  <c r="IDO810" s="1"/>
  <c r="ICG810"/>
  <c r="ICH810" s="1"/>
  <c r="ICI810" s="1"/>
  <c r="IBA810"/>
  <c r="IBB810" s="1"/>
  <c r="IBC810" s="1"/>
  <c r="HZU810"/>
  <c r="HZV810" s="1"/>
  <c r="HZW810" s="1"/>
  <c r="HYO810"/>
  <c r="HYP810" s="1"/>
  <c r="HYQ810" s="1"/>
  <c r="HXI810"/>
  <c r="HXJ810" s="1"/>
  <c r="HXK810" s="1"/>
  <c r="HWC810"/>
  <c r="HWD810" s="1"/>
  <c r="HWE810" s="1"/>
  <c r="HUW810"/>
  <c r="HUX810" s="1"/>
  <c r="HUY810" s="1"/>
  <c r="HTQ810"/>
  <c r="HTR810" s="1"/>
  <c r="HTS810" s="1"/>
  <c r="HSK810"/>
  <c r="HSL810" s="1"/>
  <c r="HSM810" s="1"/>
  <c r="HRE810"/>
  <c r="HRF810" s="1"/>
  <c r="HRG810" s="1"/>
  <c r="HPY810"/>
  <c r="HPZ810" s="1"/>
  <c r="HQA810" s="1"/>
  <c r="HOS810"/>
  <c r="HOT810" s="1"/>
  <c r="HOU810" s="1"/>
  <c r="HNM810"/>
  <c r="HNN810" s="1"/>
  <c r="HNO810" s="1"/>
  <c r="HMG810"/>
  <c r="HMH810" s="1"/>
  <c r="HMI810" s="1"/>
  <c r="HLA810"/>
  <c r="HLB810" s="1"/>
  <c r="HLC810" s="1"/>
  <c r="HJU810"/>
  <c r="HJV810" s="1"/>
  <c r="HJW810" s="1"/>
  <c r="HIO810"/>
  <c r="HIP810" s="1"/>
  <c r="HIQ810" s="1"/>
  <c r="HHI810"/>
  <c r="HHJ810" s="1"/>
  <c r="HHK810" s="1"/>
  <c r="HGC810"/>
  <c r="HGD810" s="1"/>
  <c r="HGE810" s="1"/>
  <c r="HEW810"/>
  <c r="HEX810" s="1"/>
  <c r="HEY810" s="1"/>
  <c r="HDQ810"/>
  <c r="HDR810" s="1"/>
  <c r="HDS810" s="1"/>
  <c r="HCK810"/>
  <c r="HCL810" s="1"/>
  <c r="HCM810" s="1"/>
  <c r="HBE810"/>
  <c r="HBF810" s="1"/>
  <c r="HBG810" s="1"/>
  <c r="GZY810"/>
  <c r="GZZ810" s="1"/>
  <c r="HAA810" s="1"/>
  <c r="GYS810"/>
  <c r="GYT810" s="1"/>
  <c r="GYU810" s="1"/>
  <c r="GXM810"/>
  <c r="GXN810" s="1"/>
  <c r="GXO810" s="1"/>
  <c r="GWG810"/>
  <c r="GWH810" s="1"/>
  <c r="GWI810" s="1"/>
  <c r="GVA810"/>
  <c r="GVB810" s="1"/>
  <c r="GVC810" s="1"/>
  <c r="GTU810"/>
  <c r="GTV810" s="1"/>
  <c r="GTW810" s="1"/>
  <c r="GSO810"/>
  <c r="GSP810" s="1"/>
  <c r="GSQ810" s="1"/>
  <c r="GRI810"/>
  <c r="GRJ810" s="1"/>
  <c r="GRK810" s="1"/>
  <c r="GQC810"/>
  <c r="GQD810" s="1"/>
  <c r="GQE810" s="1"/>
  <c r="GOW810"/>
  <c r="GOX810" s="1"/>
  <c r="GOY810" s="1"/>
  <c r="GNQ810"/>
  <c r="GNR810" s="1"/>
  <c r="GNS810" s="1"/>
  <c r="GMK810"/>
  <c r="GML810" s="1"/>
  <c r="GMM810" s="1"/>
  <c r="GLE810"/>
  <c r="GLF810" s="1"/>
  <c r="GLG810" s="1"/>
  <c r="GJY810"/>
  <c r="GJZ810" s="1"/>
  <c r="GKA810" s="1"/>
  <c r="GIS810"/>
  <c r="GIT810" s="1"/>
  <c r="GIU810" s="1"/>
  <c r="GHM810"/>
  <c r="GHN810" s="1"/>
  <c r="GHO810" s="1"/>
  <c r="GGG810"/>
  <c r="GGH810" s="1"/>
  <c r="GGI810" s="1"/>
  <c r="GFA810"/>
  <c r="GFB810" s="1"/>
  <c r="GFC810" s="1"/>
  <c r="GDU810"/>
  <c r="GDV810" s="1"/>
  <c r="GDW810" s="1"/>
  <c r="GCO810"/>
  <c r="GCP810" s="1"/>
  <c r="GCQ810" s="1"/>
  <c r="GBI810"/>
  <c r="GBJ810" s="1"/>
  <c r="GBK810" s="1"/>
  <c r="GAC810"/>
  <c r="GAD810" s="1"/>
  <c r="GAE810" s="1"/>
  <c r="FYW810"/>
  <c r="FYX810" s="1"/>
  <c r="FYY810" s="1"/>
  <c r="FXQ810"/>
  <c r="FXR810" s="1"/>
  <c r="FXS810" s="1"/>
  <c r="FWK810"/>
  <c r="FWL810" s="1"/>
  <c r="FWM810" s="1"/>
  <c r="FVE810"/>
  <c r="FVF810" s="1"/>
  <c r="FVG810" s="1"/>
  <c r="FTY810"/>
  <c r="FTZ810" s="1"/>
  <c r="FUA810" s="1"/>
  <c r="FSS810"/>
  <c r="FST810" s="1"/>
  <c r="FSU810" s="1"/>
  <c r="FRM810"/>
  <c r="FRN810" s="1"/>
  <c r="FRO810" s="1"/>
  <c r="FQG810"/>
  <c r="FQH810" s="1"/>
  <c r="FQI810" s="1"/>
  <c r="FPA810"/>
  <c r="FPB810" s="1"/>
  <c r="FPC810" s="1"/>
  <c r="FNU810"/>
  <c r="FNV810" s="1"/>
  <c r="FNW810" s="1"/>
  <c r="FMO810"/>
  <c r="FMP810" s="1"/>
  <c r="FMQ810" s="1"/>
  <c r="FLI810"/>
  <c r="FLJ810" s="1"/>
  <c r="FLK810" s="1"/>
  <c r="FKC810"/>
  <c r="FKD810" s="1"/>
  <c r="FKE810" s="1"/>
  <c r="FIW810"/>
  <c r="FIX810" s="1"/>
  <c r="FIY810" s="1"/>
  <c r="FHQ810"/>
  <c r="FHR810" s="1"/>
  <c r="FHS810" s="1"/>
  <c r="FGK810"/>
  <c r="FGL810" s="1"/>
  <c r="FGM810" s="1"/>
  <c r="FFE810"/>
  <c r="FFF810" s="1"/>
  <c r="FFG810" s="1"/>
  <c r="FDY810"/>
  <c r="FDZ810" s="1"/>
  <c r="FEA810" s="1"/>
  <c r="FCS810"/>
  <c r="FCT810" s="1"/>
  <c r="FCU810" s="1"/>
  <c r="FBM810"/>
  <c r="FBN810" s="1"/>
  <c r="FBO810" s="1"/>
  <c r="FAG810"/>
  <c r="FAH810" s="1"/>
  <c r="FAI810" s="1"/>
  <c r="EZA810"/>
  <c r="EZB810" s="1"/>
  <c r="EZC810" s="1"/>
  <c r="EXU810"/>
  <c r="EXV810" s="1"/>
  <c r="EXW810" s="1"/>
  <c r="EWO810"/>
  <c r="EWP810" s="1"/>
  <c r="EWQ810" s="1"/>
  <c r="EVI810"/>
  <c r="EVJ810" s="1"/>
  <c r="EVK810" s="1"/>
  <c r="EUC810"/>
  <c r="EUD810" s="1"/>
  <c r="EUE810" s="1"/>
  <c r="ESW810"/>
  <c r="ESX810" s="1"/>
  <c r="ESY810" s="1"/>
  <c r="ERQ810"/>
  <c r="ERR810" s="1"/>
  <c r="ERS810" s="1"/>
  <c r="EQK810"/>
  <c r="EQL810" s="1"/>
  <c r="EQM810" s="1"/>
  <c r="EPE810"/>
  <c r="EPF810" s="1"/>
  <c r="EPG810" s="1"/>
  <c r="ENY810"/>
  <c r="ENZ810" s="1"/>
  <c r="EOA810" s="1"/>
  <c r="EMS810"/>
  <c r="EMT810" s="1"/>
  <c r="EMU810" s="1"/>
  <c r="ELM810"/>
  <c r="ELN810" s="1"/>
  <c r="ELO810" s="1"/>
  <c r="EKG810"/>
  <c r="EKH810" s="1"/>
  <c r="EKI810" s="1"/>
  <c r="EJA810"/>
  <c r="EJB810" s="1"/>
  <c r="EJC810" s="1"/>
  <c r="EHU810"/>
  <c r="EHV810" s="1"/>
  <c r="EHW810" s="1"/>
  <c r="EGO810"/>
  <c r="EGP810" s="1"/>
  <c r="EGQ810" s="1"/>
  <c r="EFI810"/>
  <c r="EFJ810" s="1"/>
  <c r="EFK810" s="1"/>
  <c r="EEC810"/>
  <c r="EED810" s="1"/>
  <c r="EEE810" s="1"/>
  <c r="ECW810"/>
  <c r="ECX810" s="1"/>
  <c r="ECY810" s="1"/>
  <c r="EBQ810"/>
  <c r="EBR810" s="1"/>
  <c r="EBS810" s="1"/>
  <c r="EAK810"/>
  <c r="EAL810" s="1"/>
  <c r="EAM810" s="1"/>
  <c r="DZE810"/>
  <c r="DZF810" s="1"/>
  <c r="DZG810" s="1"/>
  <c r="DXY810"/>
  <c r="DXZ810" s="1"/>
  <c r="DYA810" s="1"/>
  <c r="DWS810"/>
  <c r="DWT810" s="1"/>
  <c r="DWU810" s="1"/>
  <c r="DVM810"/>
  <c r="DVN810" s="1"/>
  <c r="DVO810" s="1"/>
  <c r="DUG810"/>
  <c r="DUH810" s="1"/>
  <c r="DUI810" s="1"/>
  <c r="DTA810"/>
  <c r="DTB810" s="1"/>
  <c r="DTC810" s="1"/>
  <c r="DRU810"/>
  <c r="DRV810" s="1"/>
  <c r="DRW810" s="1"/>
  <c r="DQO810"/>
  <c r="DQP810" s="1"/>
  <c r="DQQ810" s="1"/>
  <c r="DPI810"/>
  <c r="DPJ810" s="1"/>
  <c r="DPK810" s="1"/>
  <c r="DOC810"/>
  <c r="DOD810" s="1"/>
  <c r="DOE810" s="1"/>
  <c r="DMW810"/>
  <c r="DMX810" s="1"/>
  <c r="DMY810" s="1"/>
  <c r="DLQ810"/>
  <c r="DLR810" s="1"/>
  <c r="DLS810" s="1"/>
  <c r="DKK810"/>
  <c r="DKL810" s="1"/>
  <c r="DKM810" s="1"/>
  <c r="DJE810"/>
  <c r="DJF810" s="1"/>
  <c r="DJG810" s="1"/>
  <c r="DHY810"/>
  <c r="DHZ810" s="1"/>
  <c r="DIA810" s="1"/>
  <c r="DGS810"/>
  <c r="DGT810" s="1"/>
  <c r="DGU810" s="1"/>
  <c r="DFM810"/>
  <c r="DFN810" s="1"/>
  <c r="DFO810" s="1"/>
  <c r="DEG810"/>
  <c r="DEH810" s="1"/>
  <c r="DEI810" s="1"/>
  <c r="DDA810"/>
  <c r="DDB810" s="1"/>
  <c r="DDC810" s="1"/>
  <c r="DBU810"/>
  <c r="DBV810" s="1"/>
  <c r="DBW810" s="1"/>
  <c r="DAO810"/>
  <c r="DAP810" s="1"/>
  <c r="DAQ810" s="1"/>
  <c r="CZI810"/>
  <c r="CZJ810" s="1"/>
  <c r="CZK810" s="1"/>
  <c r="CYC810"/>
  <c r="CYD810" s="1"/>
  <c r="CYE810" s="1"/>
  <c r="CWW810"/>
  <c r="CWX810" s="1"/>
  <c r="CWY810" s="1"/>
  <c r="CVQ810"/>
  <c r="CVR810" s="1"/>
  <c r="CVS810" s="1"/>
  <c r="CUK810"/>
  <c r="CUL810" s="1"/>
  <c r="CUM810" s="1"/>
  <c r="CTE810"/>
  <c r="CTF810" s="1"/>
  <c r="CTG810" s="1"/>
  <c r="CRY810"/>
  <c r="CRZ810" s="1"/>
  <c r="CSA810" s="1"/>
  <c r="CQS810"/>
  <c r="CQT810" s="1"/>
  <c r="CQU810" s="1"/>
  <c r="CPM810"/>
  <c r="CPN810" s="1"/>
  <c r="CPO810" s="1"/>
  <c r="COG810"/>
  <c r="COH810" s="1"/>
  <c r="COI810" s="1"/>
  <c r="CNA810"/>
  <c r="CNB810" s="1"/>
  <c r="CNC810" s="1"/>
  <c r="CLU810"/>
  <c r="CLV810" s="1"/>
  <c r="CLW810" s="1"/>
  <c r="CKO810"/>
  <c r="CKP810" s="1"/>
  <c r="CKQ810" s="1"/>
  <c r="CJI810"/>
  <c r="CJJ810" s="1"/>
  <c r="CJK810" s="1"/>
  <c r="CIC810"/>
  <c r="CID810" s="1"/>
  <c r="CIE810" s="1"/>
  <c r="CGW810"/>
  <c r="CGX810" s="1"/>
  <c r="CGY810" s="1"/>
  <c r="CFQ810"/>
  <c r="CFR810" s="1"/>
  <c r="CFS810" s="1"/>
  <c r="CEK810"/>
  <c r="CEL810" s="1"/>
  <c r="CEM810" s="1"/>
  <c r="CDE810"/>
  <c r="CDF810" s="1"/>
  <c r="CDG810" s="1"/>
  <c r="CBY810"/>
  <c r="CBZ810" s="1"/>
  <c r="CCA810" s="1"/>
  <c r="CAS810"/>
  <c r="CAT810" s="1"/>
  <c r="CAU810" s="1"/>
  <c r="BZM810"/>
  <c r="BZN810" s="1"/>
  <c r="BZO810" s="1"/>
  <c r="BYG810"/>
  <c r="BYH810" s="1"/>
  <c r="BYI810" s="1"/>
  <c r="BXA810"/>
  <c r="BXB810" s="1"/>
  <c r="BXC810" s="1"/>
  <c r="BVU810"/>
  <c r="BVV810" s="1"/>
  <c r="BVW810" s="1"/>
  <c r="BUO810"/>
  <c r="BUP810" s="1"/>
  <c r="BUQ810" s="1"/>
  <c r="BTI810"/>
  <c r="BTJ810" s="1"/>
  <c r="BTK810" s="1"/>
  <c r="BSC810"/>
  <c r="BSD810" s="1"/>
  <c r="BSE810" s="1"/>
  <c r="BQW810"/>
  <c r="BQX810" s="1"/>
  <c r="BQY810" s="1"/>
  <c r="BPQ810"/>
  <c r="BPR810" s="1"/>
  <c r="BPS810" s="1"/>
  <c r="BOK810"/>
  <c r="BOL810" s="1"/>
  <c r="BOM810" s="1"/>
  <c r="BNE810"/>
  <c r="BNF810" s="1"/>
  <c r="BNG810" s="1"/>
  <c r="BLY810"/>
  <c r="BLZ810" s="1"/>
  <c r="BMA810" s="1"/>
  <c r="BKS810"/>
  <c r="BKT810" s="1"/>
  <c r="BKU810" s="1"/>
  <c r="BJM810"/>
  <c r="BJN810" s="1"/>
  <c r="BJO810" s="1"/>
  <c r="BIG810"/>
  <c r="BIH810" s="1"/>
  <c r="BII810" s="1"/>
  <c r="BHA810"/>
  <c r="BHB810" s="1"/>
  <c r="BHC810" s="1"/>
  <c r="BFU810"/>
  <c r="BFV810" s="1"/>
  <c r="BFW810" s="1"/>
  <c r="BEO810"/>
  <c r="BEP810" s="1"/>
  <c r="BEQ810" s="1"/>
  <c r="BDI810"/>
  <c r="BDJ810" s="1"/>
  <c r="BDK810" s="1"/>
  <c r="BCC810"/>
  <c r="BCD810" s="1"/>
  <c r="BCE810" s="1"/>
  <c r="BAW810"/>
  <c r="BAX810" s="1"/>
  <c r="BAY810" s="1"/>
  <c r="AZQ810"/>
  <c r="AZR810" s="1"/>
  <c r="AZS810" s="1"/>
  <c r="AYK810"/>
  <c r="AYL810" s="1"/>
  <c r="AYM810" s="1"/>
  <c r="AXE810"/>
  <c r="AXF810" s="1"/>
  <c r="AXG810" s="1"/>
  <c r="AVY810"/>
  <c r="AVZ810" s="1"/>
  <c r="AWA810" s="1"/>
  <c r="AUS810"/>
  <c r="AUT810" s="1"/>
  <c r="AUU810" s="1"/>
  <c r="ATM810"/>
  <c r="ATN810" s="1"/>
  <c r="ATO810" s="1"/>
  <c r="ASG810"/>
  <c r="ASH810" s="1"/>
  <c r="ASI810" s="1"/>
  <c r="ARA810"/>
  <c r="ARB810" s="1"/>
  <c r="ARC810" s="1"/>
  <c r="APU810"/>
  <c r="APV810" s="1"/>
  <c r="APW810" s="1"/>
  <c r="AOO810"/>
  <c r="AOP810" s="1"/>
  <c r="AOQ810" s="1"/>
  <c r="ANI810"/>
  <c r="ANJ810" s="1"/>
  <c r="ANK810" s="1"/>
  <c r="AMC810"/>
  <c r="AMD810" s="1"/>
  <c r="AME810" s="1"/>
  <c r="AKW810"/>
  <c r="AKX810" s="1"/>
  <c r="AKY810" s="1"/>
  <c r="AJQ810"/>
  <c r="AJR810" s="1"/>
  <c r="AJS810" s="1"/>
  <c r="AIK810"/>
  <c r="AIL810" s="1"/>
  <c r="AIM810" s="1"/>
  <c r="AHE810"/>
  <c r="AHF810" s="1"/>
  <c r="AHG810" s="1"/>
  <c r="AFY810"/>
  <c r="AFZ810" s="1"/>
  <c r="AGA810" s="1"/>
  <c r="AES810"/>
  <c r="AET810" s="1"/>
  <c r="AEU810" s="1"/>
  <c r="ADM810"/>
  <c r="ADN810" s="1"/>
  <c r="ADO810" s="1"/>
  <c r="ACG810"/>
  <c r="ACH810" s="1"/>
  <c r="ACI810" s="1"/>
  <c r="ABA810"/>
  <c r="ABB810" s="1"/>
  <c r="ABC810" s="1"/>
  <c r="ZU810"/>
  <c r="ZV810" s="1"/>
  <c r="ZW810" s="1"/>
  <c r="YO810"/>
  <c r="YP810" s="1"/>
  <c r="YQ810" s="1"/>
  <c r="XI810"/>
  <c r="XJ810" s="1"/>
  <c r="XK810" s="1"/>
  <c r="WC810"/>
  <c r="WD810" s="1"/>
  <c r="WE810" s="1"/>
  <c r="UW810"/>
  <c r="UX810" s="1"/>
  <c r="UY810" s="1"/>
  <c r="TQ810"/>
  <c r="TR810" s="1"/>
  <c r="TS810" s="1"/>
  <c r="SK810"/>
  <c r="SL810" s="1"/>
  <c r="SM810" s="1"/>
  <c r="RE810"/>
  <c r="RF810" s="1"/>
  <c r="RG810" s="1"/>
  <c r="PY810"/>
  <c r="PZ810" s="1"/>
  <c r="QA810" s="1"/>
  <c r="OS810"/>
  <c r="OT810" s="1"/>
  <c r="OU810" s="1"/>
  <c r="NM810"/>
  <c r="NN810" s="1"/>
  <c r="NO810" s="1"/>
  <c r="MG810"/>
  <c r="MH810" s="1"/>
  <c r="MI810" s="1"/>
  <c r="LA810"/>
  <c r="LB810" s="1"/>
  <c r="LC810" s="1"/>
  <c r="JU810"/>
  <c r="JV810" s="1"/>
  <c r="JW810" s="1"/>
  <c r="IO810"/>
  <c r="IP810" s="1"/>
  <c r="IQ810" s="1"/>
  <c r="HI810"/>
  <c r="HJ810" s="1"/>
  <c r="HK810" s="1"/>
  <c r="GC810"/>
  <c r="GD810" s="1"/>
  <c r="GE810" s="1"/>
  <c r="EW810"/>
  <c r="EX810" s="1"/>
  <c r="EY810" s="1"/>
  <c r="DQ810"/>
  <c r="DR810" s="1"/>
  <c r="DS810" s="1"/>
  <c r="CK810"/>
  <c r="CL810" s="1"/>
  <c r="CM810" s="1"/>
  <c r="BE810"/>
  <c r="BF810" s="1"/>
  <c r="BG810" s="1"/>
  <c r="U136" i="3"/>
  <c r="V136" s="1"/>
  <c r="W136" s="1"/>
  <c r="AD136"/>
  <c r="AE826" i="4"/>
  <c r="AF826" s="1"/>
  <c r="AD410"/>
  <c r="AD530" i="3"/>
  <c r="AD538" s="1"/>
  <c r="AE536"/>
  <c r="AF536" s="1"/>
  <c r="P25" i="2"/>
  <c r="P23"/>
  <c r="P11"/>
  <c r="U20" i="1"/>
  <c r="Y136" i="3" l="1"/>
  <c r="Z136" s="1"/>
  <c r="AD864" i="4"/>
  <c r="AD806"/>
  <c r="AD750"/>
  <c r="AD324"/>
  <c r="H749"/>
  <c r="J749" s="1"/>
  <c r="F749"/>
  <c r="H748"/>
  <c r="J748" s="1"/>
  <c r="F748"/>
  <c r="H720"/>
  <c r="L720" s="1"/>
  <c r="N720" s="1"/>
  <c r="Q720" s="1"/>
  <c r="T720" s="1"/>
  <c r="F720"/>
  <c r="H695"/>
  <c r="J695" s="1"/>
  <c r="F695"/>
  <c r="AA685"/>
  <c r="H685"/>
  <c r="J685" s="1"/>
  <c r="F685"/>
  <c r="AA684"/>
  <c r="V684"/>
  <c r="W684" s="1"/>
  <c r="H653"/>
  <c r="J653" s="1"/>
  <c r="F653"/>
  <c r="AD575"/>
  <c r="Q575"/>
  <c r="T575" s="1"/>
  <c r="T572"/>
  <c r="V572" s="1"/>
  <c r="H464"/>
  <c r="L464" s="1"/>
  <c r="N464" s="1"/>
  <c r="Q464" s="1"/>
  <c r="T464" s="1"/>
  <c r="F464"/>
  <c r="H419"/>
  <c r="J419" s="1"/>
  <c r="F419"/>
  <c r="U356"/>
  <c r="T356"/>
  <c r="AE320"/>
  <c r="AF320" s="1"/>
  <c r="AB264"/>
  <c r="AC264" s="1"/>
  <c r="AE264" s="1"/>
  <c r="H230"/>
  <c r="J230" s="1"/>
  <c r="F230"/>
  <c r="H211"/>
  <c r="J211" s="1"/>
  <c r="F211"/>
  <c r="H191"/>
  <c r="J191" s="1"/>
  <c r="F191"/>
  <c r="H159"/>
  <c r="J159" s="1"/>
  <c r="F159"/>
  <c r="H127"/>
  <c r="J127" s="1"/>
  <c r="F127"/>
  <c r="H80"/>
  <c r="J80" s="1"/>
  <c r="F80"/>
  <c r="H55"/>
  <c r="L55" s="1"/>
  <c r="N55" s="1"/>
  <c r="P55" s="1"/>
  <c r="Q55" s="1"/>
  <c r="F55"/>
  <c r="H34"/>
  <c r="J34" s="1"/>
  <c r="F34"/>
  <c r="H19"/>
  <c r="J19" s="1"/>
  <c r="F19"/>
  <c r="S805"/>
  <c r="T805" s="1"/>
  <c r="V805" s="1"/>
  <c r="W805" s="1"/>
  <c r="V776"/>
  <c r="W776" s="1"/>
  <c r="Y776" s="1"/>
  <c r="Z776" s="1"/>
  <c r="H744"/>
  <c r="J744" s="1"/>
  <c r="F744"/>
  <c r="H718"/>
  <c r="J718" s="1"/>
  <c r="F718"/>
  <c r="AB652"/>
  <c r="AC652" s="1"/>
  <c r="AE652" s="1"/>
  <c r="AF652" s="1"/>
  <c r="H597"/>
  <c r="L597" s="1"/>
  <c r="N597" s="1"/>
  <c r="Q597" s="1"/>
  <c r="T597" s="1"/>
  <c r="F597"/>
  <c r="H558"/>
  <c r="L558" s="1"/>
  <c r="N558" s="1"/>
  <c r="Q558" s="1"/>
  <c r="T558" s="1"/>
  <c r="F558"/>
  <c r="H463"/>
  <c r="L463" s="1"/>
  <c r="N463" s="1"/>
  <c r="Q463" s="1"/>
  <c r="T463" s="1"/>
  <c r="F463"/>
  <c r="V319"/>
  <c r="W319" s="1"/>
  <c r="H190"/>
  <c r="J190" s="1"/>
  <c r="F190"/>
  <c r="H158"/>
  <c r="L158" s="1"/>
  <c r="N158" s="1"/>
  <c r="F158"/>
  <c r="H126"/>
  <c r="L126" s="1"/>
  <c r="F126"/>
  <c r="H79"/>
  <c r="J79" s="1"/>
  <c r="F79"/>
  <c r="H18"/>
  <c r="J18" s="1"/>
  <c r="F18"/>
  <c r="Y849"/>
  <c r="Z849" s="1"/>
  <c r="AD842"/>
  <c r="X842"/>
  <c r="N743"/>
  <c r="Q743" s="1"/>
  <c r="T743" s="1"/>
  <c r="H743"/>
  <c r="J743" s="1"/>
  <c r="F743"/>
  <c r="N717"/>
  <c r="Q717" s="1"/>
  <c r="T717" s="1"/>
  <c r="H717"/>
  <c r="J717" s="1"/>
  <c r="F717"/>
  <c r="AD683"/>
  <c r="N683"/>
  <c r="Q683" s="1"/>
  <c r="T683" s="1"/>
  <c r="H683"/>
  <c r="J683" s="1"/>
  <c r="F683"/>
  <c r="N651"/>
  <c r="Q651" s="1"/>
  <c r="T651" s="1"/>
  <c r="H651"/>
  <c r="J651" s="1"/>
  <c r="F651"/>
  <c r="N518"/>
  <c r="Q518" s="1"/>
  <c r="T518" s="1"/>
  <c r="H518"/>
  <c r="J518" s="1"/>
  <c r="F518"/>
  <c r="N483"/>
  <c r="Q483" s="1"/>
  <c r="T483" s="1"/>
  <c r="H483"/>
  <c r="J483" s="1"/>
  <c r="F483"/>
  <c r="M434"/>
  <c r="N434" s="1"/>
  <c r="Q434" s="1"/>
  <c r="T434" s="1"/>
  <c r="H434"/>
  <c r="J434" s="1"/>
  <c r="F434"/>
  <c r="N368"/>
  <c r="Q368" s="1"/>
  <c r="T368" s="1"/>
  <c r="H368"/>
  <c r="J368" s="1"/>
  <c r="F368"/>
  <c r="V318"/>
  <c r="W318" s="1"/>
  <c r="N229"/>
  <c r="P229" s="1"/>
  <c r="H229"/>
  <c r="J229" s="1"/>
  <c r="F229"/>
  <c r="N210"/>
  <c r="P210" s="1"/>
  <c r="Q210" s="1"/>
  <c r="H210"/>
  <c r="J210" s="1"/>
  <c r="F210"/>
  <c r="M189"/>
  <c r="N189" s="1"/>
  <c r="H189"/>
  <c r="J189" s="1"/>
  <c r="F189"/>
  <c r="N157"/>
  <c r="P157" s="1"/>
  <c r="Q157" s="1"/>
  <c r="H157"/>
  <c r="J157" s="1"/>
  <c r="F157"/>
  <c r="M125"/>
  <c r="N125" s="1"/>
  <c r="P125" s="1"/>
  <c r="Q125" s="1"/>
  <c r="H125"/>
  <c r="J125" s="1"/>
  <c r="F125"/>
  <c r="N54"/>
  <c r="P54" s="1"/>
  <c r="H54"/>
  <c r="J54" s="1"/>
  <c r="F54"/>
  <c r="N17"/>
  <c r="P17" s="1"/>
  <c r="H17"/>
  <c r="J17" s="1"/>
  <c r="F17"/>
  <c r="X682"/>
  <c r="Y682" s="1"/>
  <c r="Z682" s="1"/>
  <c r="Y650"/>
  <c r="Z650" s="1"/>
  <c r="AB650" s="1"/>
  <c r="AC650" s="1"/>
  <c r="H616"/>
  <c r="J616" s="1"/>
  <c r="F616"/>
  <c r="AE499"/>
  <c r="AF499" s="1"/>
  <c r="H462"/>
  <c r="J462" s="1"/>
  <c r="F462"/>
  <c r="AE418"/>
  <c r="AF418" s="1"/>
  <c r="V317"/>
  <c r="W317" s="1"/>
  <c r="Y317" s="1"/>
  <c r="Z317" s="1"/>
  <c r="H188"/>
  <c r="L188" s="1"/>
  <c r="N188" s="1"/>
  <c r="F188"/>
  <c r="H156"/>
  <c r="J156" s="1"/>
  <c r="F156"/>
  <c r="H124"/>
  <c r="L124" s="1"/>
  <c r="N124" s="1"/>
  <c r="F124"/>
  <c r="H78"/>
  <c r="J78" s="1"/>
  <c r="F78"/>
  <c r="AE742"/>
  <c r="AF742" s="1"/>
  <c r="N681"/>
  <c r="Q681" s="1"/>
  <c r="T681" s="1"/>
  <c r="H681"/>
  <c r="J681" s="1"/>
  <c r="F681"/>
  <c r="N649"/>
  <c r="Q649" s="1"/>
  <c r="T649" s="1"/>
  <c r="H649"/>
  <c r="J649" s="1"/>
  <c r="F649"/>
  <c r="V316"/>
  <c r="W316" s="1"/>
  <c r="N263"/>
  <c r="P263" s="1"/>
  <c r="H263"/>
  <c r="J263" s="1"/>
  <c r="F263"/>
  <c r="N187"/>
  <c r="P187" s="1"/>
  <c r="H187"/>
  <c r="J187" s="1"/>
  <c r="F187"/>
  <c r="N155"/>
  <c r="P155" s="1"/>
  <c r="H155"/>
  <c r="J155" s="1"/>
  <c r="F155"/>
  <c r="N123"/>
  <c r="P123" s="1"/>
  <c r="H123"/>
  <c r="J123" s="1"/>
  <c r="F123"/>
  <c r="AE53"/>
  <c r="AF53" s="1"/>
  <c r="N33"/>
  <c r="P33" s="1"/>
  <c r="H33"/>
  <c r="J33" s="1"/>
  <c r="F33"/>
  <c r="AB847"/>
  <c r="AC847" s="1"/>
  <c r="AE847" s="1"/>
  <c r="AE841"/>
  <c r="AF841" s="1"/>
  <c r="N753"/>
  <c r="Q753" s="1"/>
  <c r="S753" s="1"/>
  <c r="H753"/>
  <c r="J753" s="1"/>
  <c r="F753"/>
  <c r="N741"/>
  <c r="Q741" s="1"/>
  <c r="T741" s="1"/>
  <c r="H741"/>
  <c r="J741" s="1"/>
  <c r="F741"/>
  <c r="N716"/>
  <c r="Q716" s="1"/>
  <c r="T716" s="1"/>
  <c r="H716"/>
  <c r="J716" s="1"/>
  <c r="F716"/>
  <c r="N648"/>
  <c r="Q648" s="1"/>
  <c r="T648" s="1"/>
  <c r="H648"/>
  <c r="J648" s="1"/>
  <c r="F648"/>
  <c r="AE498"/>
  <c r="AF498" s="1"/>
  <c r="N482"/>
  <c r="Q482" s="1"/>
  <c r="T482" s="1"/>
  <c r="U482" s="1"/>
  <c r="V482" s="1"/>
  <c r="H482"/>
  <c r="J482" s="1"/>
  <c r="F482"/>
  <c r="N461"/>
  <c r="Q461" s="1"/>
  <c r="T461" s="1"/>
  <c r="H461"/>
  <c r="J461" s="1"/>
  <c r="F461"/>
  <c r="N417"/>
  <c r="Q417" s="1"/>
  <c r="T417" s="1"/>
  <c r="H417"/>
  <c r="J417" s="1"/>
  <c r="F417"/>
  <c r="N355"/>
  <c r="Q355" s="1"/>
  <c r="T355" s="1"/>
  <c r="H355"/>
  <c r="J355" s="1"/>
  <c r="F355"/>
  <c r="V315"/>
  <c r="W315" s="1"/>
  <c r="Y315" s="1"/>
  <c r="Z315" s="1"/>
  <c r="AB315" s="1"/>
  <c r="N186"/>
  <c r="P186" s="1"/>
  <c r="H186"/>
  <c r="J186" s="1"/>
  <c r="F186"/>
  <c r="N154"/>
  <c r="P154" s="1"/>
  <c r="H154"/>
  <c r="J154" s="1"/>
  <c r="F154"/>
  <c r="N122"/>
  <c r="P122" s="1"/>
  <c r="N77"/>
  <c r="P77" s="1"/>
  <c r="N52"/>
  <c r="P52" s="1"/>
  <c r="N16"/>
  <c r="P16" s="1"/>
  <c r="Q16" s="1"/>
  <c r="H861"/>
  <c r="L861" s="1"/>
  <c r="N861" s="1"/>
  <c r="Q861" s="1"/>
  <c r="F861"/>
  <c r="H860"/>
  <c r="L860" s="1"/>
  <c r="F860"/>
  <c r="AB846"/>
  <c r="AC846" s="1"/>
  <c r="AB840"/>
  <c r="AC840" s="1"/>
  <c r="AE828"/>
  <c r="AF828" s="1"/>
  <c r="AA785"/>
  <c r="R785"/>
  <c r="N785"/>
  <c r="Q785" s="1"/>
  <c r="H763"/>
  <c r="J763" s="1"/>
  <c r="F763"/>
  <c r="H762"/>
  <c r="L762" s="1"/>
  <c r="N762" s="1"/>
  <c r="F762"/>
  <c r="AB761"/>
  <c r="AC761" s="1"/>
  <c r="V757"/>
  <c r="W757" s="1"/>
  <c r="H740"/>
  <c r="L740" s="1"/>
  <c r="N740" s="1"/>
  <c r="Q740" s="1"/>
  <c r="T740" s="1"/>
  <c r="F740"/>
  <c r="H715"/>
  <c r="L715" s="1"/>
  <c r="N715" s="1"/>
  <c r="Q715" s="1"/>
  <c r="T715" s="1"/>
  <c r="F715"/>
  <c r="AA680"/>
  <c r="X680"/>
  <c r="H680"/>
  <c r="L680" s="1"/>
  <c r="N680" s="1"/>
  <c r="Q680" s="1"/>
  <c r="F680"/>
  <c r="R658"/>
  <c r="H658"/>
  <c r="J658" s="1"/>
  <c r="F658"/>
  <c r="AA647"/>
  <c r="X647"/>
  <c r="H647"/>
  <c r="J647" s="1"/>
  <c r="F647"/>
  <c r="AA599"/>
  <c r="R599"/>
  <c r="M599"/>
  <c r="H599"/>
  <c r="L599" s="1"/>
  <c r="F599"/>
  <c r="H598"/>
  <c r="J598" s="1"/>
  <c r="F598"/>
  <c r="H569"/>
  <c r="L569" s="1"/>
  <c r="N569" s="1"/>
  <c r="Q569" s="1"/>
  <c r="T569" s="1"/>
  <c r="F569"/>
  <c r="H560"/>
  <c r="J560" s="1"/>
  <c r="F560"/>
  <c r="R559"/>
  <c r="H559"/>
  <c r="J559" s="1"/>
  <c r="F559"/>
  <c r="H557"/>
  <c r="J557" s="1"/>
  <c r="F557"/>
  <c r="H534"/>
  <c r="J534" s="1"/>
  <c r="F534"/>
  <c r="H528"/>
  <c r="J528" s="1"/>
  <c r="F528"/>
  <c r="H517"/>
  <c r="J517" s="1"/>
  <c r="F517"/>
  <c r="H497"/>
  <c r="J497" s="1"/>
  <c r="F497"/>
  <c r="H481"/>
  <c r="J481" s="1"/>
  <c r="F481"/>
  <c r="H460"/>
  <c r="L460" s="1"/>
  <c r="N460" s="1"/>
  <c r="Q460" s="1"/>
  <c r="T460" s="1"/>
  <c r="F460"/>
  <c r="H432"/>
  <c r="J432" s="1"/>
  <c r="F432"/>
  <c r="AA416"/>
  <c r="H416"/>
  <c r="J416" s="1"/>
  <c r="F416"/>
  <c r="H354"/>
  <c r="L354" s="1"/>
  <c r="N354" s="1"/>
  <c r="Q354" s="1"/>
  <c r="T354" s="1"/>
  <c r="F354"/>
  <c r="H331"/>
  <c r="J331" s="1"/>
  <c r="E331"/>
  <c r="H322"/>
  <c r="J322" s="1"/>
  <c r="F322"/>
  <c r="H321"/>
  <c r="L321" s="1"/>
  <c r="N321" s="1"/>
  <c r="F321"/>
  <c r="AA314"/>
  <c r="X314"/>
  <c r="U314"/>
  <c r="R314"/>
  <c r="O314"/>
  <c r="H314"/>
  <c r="L314" s="1"/>
  <c r="M314" s="1"/>
  <c r="F314"/>
  <c r="H266"/>
  <c r="L266" s="1"/>
  <c r="N266" s="1"/>
  <c r="F266"/>
  <c r="H265"/>
  <c r="L265" s="1"/>
  <c r="N265" s="1"/>
  <c r="F265"/>
  <c r="H228"/>
  <c r="J228" s="1"/>
  <c r="F228"/>
  <c r="H209"/>
  <c r="L209" s="1"/>
  <c r="M209" s="1"/>
  <c r="F209"/>
  <c r="H192"/>
  <c r="L192" s="1"/>
  <c r="N192" s="1"/>
  <c r="F192"/>
  <c r="R185"/>
  <c r="H185"/>
  <c r="J185" s="1"/>
  <c r="F185"/>
  <c r="R153"/>
  <c r="H153"/>
  <c r="L153" s="1"/>
  <c r="F153"/>
  <c r="H121"/>
  <c r="L121" s="1"/>
  <c r="F121"/>
  <c r="H76"/>
  <c r="L76" s="1"/>
  <c r="F76"/>
  <c r="H51"/>
  <c r="L51" s="1"/>
  <c r="N51" s="1"/>
  <c r="F51"/>
  <c r="H32"/>
  <c r="J32" s="1"/>
  <c r="F32"/>
  <c r="H15"/>
  <c r="L15" s="1"/>
  <c r="N15" s="1"/>
  <c r="F15"/>
  <c r="H4"/>
  <c r="L4" s="1"/>
  <c r="F4"/>
  <c r="H3"/>
  <c r="F3"/>
  <c r="N646"/>
  <c r="Q646" s="1"/>
  <c r="T646" s="1"/>
  <c r="H646"/>
  <c r="J646" s="1"/>
  <c r="F646"/>
  <c r="M617"/>
  <c r="N617" s="1"/>
  <c r="Q617" s="1"/>
  <c r="T617" s="1"/>
  <c r="H617"/>
  <c r="J617" s="1"/>
  <c r="F617"/>
  <c r="M615"/>
  <c r="N615" s="1"/>
  <c r="Q615" s="1"/>
  <c r="T615" s="1"/>
  <c r="H615"/>
  <c r="J615" s="1"/>
  <c r="F615"/>
  <c r="M596"/>
  <c r="N596" s="1"/>
  <c r="Q596" s="1"/>
  <c r="T596" s="1"/>
  <c r="H596"/>
  <c r="J596" s="1"/>
  <c r="F596"/>
  <c r="N459"/>
  <c r="Q459" s="1"/>
  <c r="T459" s="1"/>
  <c r="H459"/>
  <c r="J459" s="1"/>
  <c r="F459"/>
  <c r="V313"/>
  <c r="W313" s="1"/>
  <c r="Y313" s="1"/>
  <c r="Z313" s="1"/>
  <c r="N287"/>
  <c r="H287"/>
  <c r="J287" s="1"/>
  <c r="F287"/>
  <c r="N184"/>
  <c r="H184"/>
  <c r="J184" s="1"/>
  <c r="F184"/>
  <c r="N152"/>
  <c r="H152"/>
  <c r="J152" s="1"/>
  <c r="F152"/>
  <c r="N120"/>
  <c r="H120"/>
  <c r="J120" s="1"/>
  <c r="F120"/>
  <c r="N50"/>
  <c r="J50"/>
  <c r="L853"/>
  <c r="N853" s="1"/>
  <c r="Q853" s="1"/>
  <c r="T853" s="1"/>
  <c r="J853"/>
  <c r="U784"/>
  <c r="H784"/>
  <c r="L784" s="1"/>
  <c r="N784" s="1"/>
  <c r="Q784" s="1"/>
  <c r="T784" s="1"/>
  <c r="F784"/>
  <c r="H765"/>
  <c r="L765" s="1"/>
  <c r="N765" s="1"/>
  <c r="Q765" s="1"/>
  <c r="T765" s="1"/>
  <c r="F765"/>
  <c r="H719"/>
  <c r="L719" s="1"/>
  <c r="N719" s="1"/>
  <c r="Q719" s="1"/>
  <c r="T719" s="1"/>
  <c r="F719"/>
  <c r="H694"/>
  <c r="L694" s="1"/>
  <c r="N694" s="1"/>
  <c r="Q694" s="1"/>
  <c r="T694" s="1"/>
  <c r="F694"/>
  <c r="H679"/>
  <c r="F679"/>
  <c r="V645"/>
  <c r="W645" s="1"/>
  <c r="H595"/>
  <c r="F595"/>
  <c r="G581"/>
  <c r="H581" s="1"/>
  <c r="F581"/>
  <c r="H556"/>
  <c r="J556" s="1"/>
  <c r="F556"/>
  <c r="H516"/>
  <c r="J516" s="1"/>
  <c r="F516"/>
  <c r="H480"/>
  <c r="J480" s="1"/>
  <c r="F480"/>
  <c r="H458"/>
  <c r="J458" s="1"/>
  <c r="F458"/>
  <c r="H431"/>
  <c r="J431" s="1"/>
  <c r="F431"/>
  <c r="H353"/>
  <c r="J353" s="1"/>
  <c r="F353"/>
  <c r="V312"/>
  <c r="W312" s="1"/>
  <c r="Y312" s="1"/>
  <c r="H2"/>
  <c r="L2" s="1"/>
  <c r="F2"/>
  <c r="H739"/>
  <c r="J739" s="1"/>
  <c r="F739"/>
  <c r="H714"/>
  <c r="J714" s="1"/>
  <c r="F714"/>
  <c r="H614"/>
  <c r="J614" s="1"/>
  <c r="F614"/>
  <c r="H555"/>
  <c r="J555" s="1"/>
  <c r="F555"/>
  <c r="H457"/>
  <c r="J457" s="1"/>
  <c r="F457"/>
  <c r="H415"/>
  <c r="J415" s="1"/>
  <c r="F415"/>
  <c r="H352"/>
  <c r="J352" s="1"/>
  <c r="F352"/>
  <c r="V311"/>
  <c r="W311" s="1"/>
  <c r="Y311" s="1"/>
  <c r="H183"/>
  <c r="J183" s="1"/>
  <c r="F183"/>
  <c r="H151"/>
  <c r="F151"/>
  <c r="Y49"/>
  <c r="Z49" s="1"/>
  <c r="AB49" s="1"/>
  <c r="AA832"/>
  <c r="AB832" s="1"/>
  <c r="AC832" s="1"/>
  <c r="AE832" s="1"/>
  <c r="H738"/>
  <c r="L738" s="1"/>
  <c r="N738" s="1"/>
  <c r="Q738" s="1"/>
  <c r="T738" s="1"/>
  <c r="U738" s="1"/>
  <c r="V738" s="1"/>
  <c r="F738"/>
  <c r="H713"/>
  <c r="L713" s="1"/>
  <c r="N713" s="1"/>
  <c r="Q713" s="1"/>
  <c r="T713" s="1"/>
  <c r="U713" s="1"/>
  <c r="V713" s="1"/>
  <c r="F713"/>
  <c r="H644"/>
  <c r="L644" s="1"/>
  <c r="N644" s="1"/>
  <c r="Q644" s="1"/>
  <c r="T644" s="1"/>
  <c r="F644"/>
  <c r="H565"/>
  <c r="L565" s="1"/>
  <c r="N565" s="1"/>
  <c r="Q565" s="1"/>
  <c r="T565" s="1"/>
  <c r="F565"/>
  <c r="H554"/>
  <c r="L554" s="1"/>
  <c r="N554" s="1"/>
  <c r="Q554" s="1"/>
  <c r="T554" s="1"/>
  <c r="F554"/>
  <c r="H527"/>
  <c r="L527" s="1"/>
  <c r="N527" s="1"/>
  <c r="Q527" s="1"/>
  <c r="T527" s="1"/>
  <c r="F527"/>
  <c r="H515"/>
  <c r="L515" s="1"/>
  <c r="N515" s="1"/>
  <c r="Q515" s="1"/>
  <c r="T515" s="1"/>
  <c r="F515"/>
  <c r="AE496"/>
  <c r="AF496" s="1"/>
  <c r="H479"/>
  <c r="J479" s="1"/>
  <c r="F479"/>
  <c r="H456"/>
  <c r="J456" s="1"/>
  <c r="F456"/>
  <c r="H435"/>
  <c r="J435" s="1"/>
  <c r="F435"/>
  <c r="H430"/>
  <c r="J430" s="1"/>
  <c r="F430"/>
  <c r="H414"/>
  <c r="J414" s="1"/>
  <c r="F414"/>
  <c r="H392"/>
  <c r="J392" s="1"/>
  <c r="F392"/>
  <c r="H367"/>
  <c r="J367" s="1"/>
  <c r="F367"/>
  <c r="H351"/>
  <c r="J351" s="1"/>
  <c r="F351"/>
  <c r="V310"/>
  <c r="W310" s="1"/>
  <c r="H286"/>
  <c r="F286"/>
  <c r="H250"/>
  <c r="L250" s="1"/>
  <c r="F250"/>
  <c r="H240"/>
  <c r="F240"/>
  <c r="H227"/>
  <c r="J227" s="1"/>
  <c r="F227"/>
  <c r="H212"/>
  <c r="J212" s="1"/>
  <c r="F212"/>
  <c r="H208"/>
  <c r="L208" s="1"/>
  <c r="F208"/>
  <c r="H182"/>
  <c r="J182" s="1"/>
  <c r="F182"/>
  <c r="H150"/>
  <c r="L150" s="1"/>
  <c r="F150"/>
  <c r="H119"/>
  <c r="J119" s="1"/>
  <c r="F119"/>
  <c r="L96"/>
  <c r="M96" s="1"/>
  <c r="J96"/>
  <c r="H75"/>
  <c r="L75" s="1"/>
  <c r="F75"/>
  <c r="AB48"/>
  <c r="AB643"/>
  <c r="AC643" s="1"/>
  <c r="AE643" s="1"/>
  <c r="M643"/>
  <c r="H643"/>
  <c r="J643" s="1"/>
  <c r="F643"/>
  <c r="AD376"/>
  <c r="AB571"/>
  <c r="AC571" s="1"/>
  <c r="AE571" s="1"/>
  <c r="G571"/>
  <c r="E571"/>
  <c r="AE371"/>
  <c r="AF371" s="1"/>
  <c r="AB775"/>
  <c r="AC775" s="1"/>
  <c r="AE775" s="1"/>
  <c r="AB737"/>
  <c r="AC737" s="1"/>
  <c r="M737"/>
  <c r="H737"/>
  <c r="L737" s="1"/>
  <c r="F737"/>
  <c r="AB712"/>
  <c r="AC712" s="1"/>
  <c r="AE712" s="1"/>
  <c r="X712"/>
  <c r="G712"/>
  <c r="D712"/>
  <c r="AB678"/>
  <c r="AC678" s="1"/>
  <c r="AE678" s="1"/>
  <c r="X678"/>
  <c r="Y678" s="1"/>
  <c r="H678"/>
  <c r="J678" s="1"/>
  <c r="F678"/>
  <c r="AB642"/>
  <c r="AC642" s="1"/>
  <c r="AA613"/>
  <c r="AB613" s="1"/>
  <c r="AC613" s="1"/>
  <c r="AA594"/>
  <c r="AB594" s="1"/>
  <c r="AC594" s="1"/>
  <c r="AE594" s="1"/>
  <c r="AB309"/>
  <c r="AC309" s="1"/>
  <c r="AB226"/>
  <c r="AC226" s="1"/>
  <c r="AB207"/>
  <c r="AC207" s="1"/>
  <c r="AB181"/>
  <c r="AC181" s="1"/>
  <c r="AE181" s="1"/>
  <c r="AB149"/>
  <c r="AC149" s="1"/>
  <c r="AE149" s="1"/>
  <c r="AB118"/>
  <c r="AC118" s="1"/>
  <c r="AB74"/>
  <c r="AC74" s="1"/>
  <c r="AE839"/>
  <c r="AF839" s="1"/>
  <c r="H817"/>
  <c r="L817" s="1"/>
  <c r="N817" s="1"/>
  <c r="Q817" s="1"/>
  <c r="T817" s="1"/>
  <c r="F817"/>
  <c r="N808"/>
  <c r="Q808" s="1"/>
  <c r="T808" s="1"/>
  <c r="N803"/>
  <c r="Q803" s="1"/>
  <c r="T803" s="1"/>
  <c r="U803" s="1"/>
  <c r="V803" s="1"/>
  <c r="W803" s="1"/>
  <c r="H802"/>
  <c r="F802"/>
  <c r="H797"/>
  <c r="L797" s="1"/>
  <c r="M797" s="1"/>
  <c r="F797"/>
  <c r="AE791"/>
  <c r="AF791" s="1"/>
  <c r="X774"/>
  <c r="V774"/>
  <c r="W774" s="1"/>
  <c r="H774"/>
  <c r="J774" s="1"/>
  <c r="F774"/>
  <c r="H751"/>
  <c r="J751" s="1"/>
  <c r="F751"/>
  <c r="H736"/>
  <c r="L736" s="1"/>
  <c r="N736" s="1"/>
  <c r="Q736" s="1"/>
  <c r="T736" s="1"/>
  <c r="F736"/>
  <c r="H711"/>
  <c r="L711" s="1"/>
  <c r="N711" s="1"/>
  <c r="Q711" s="1"/>
  <c r="T711" s="1"/>
  <c r="F711"/>
  <c r="H677"/>
  <c r="F677"/>
  <c r="H659"/>
  <c r="L659" s="1"/>
  <c r="N659" s="1"/>
  <c r="Q659" s="1"/>
  <c r="T659" s="1"/>
  <c r="F659"/>
  <c r="H657"/>
  <c r="J657" s="1"/>
  <c r="F657"/>
  <c r="AA641"/>
  <c r="H641"/>
  <c r="J641" s="1"/>
  <c r="F641"/>
  <c r="S612"/>
  <c r="H612"/>
  <c r="L612" s="1"/>
  <c r="N612" s="1"/>
  <c r="Q612" s="1"/>
  <c r="F612"/>
  <c r="H593"/>
  <c r="F593"/>
  <c r="H580"/>
  <c r="F580"/>
  <c r="AA574"/>
  <c r="V574"/>
  <c r="W574" s="1"/>
  <c r="Y574" s="1"/>
  <c r="H574"/>
  <c r="J574" s="1"/>
  <c r="F574"/>
  <c r="V570"/>
  <c r="W570" s="1"/>
  <c r="H564"/>
  <c r="L564" s="1"/>
  <c r="N564" s="1"/>
  <c r="Q564" s="1"/>
  <c r="T564" s="1"/>
  <c r="U564" s="1"/>
  <c r="V564" s="1"/>
  <c r="F564"/>
  <c r="H553"/>
  <c r="J553" s="1"/>
  <c r="F553"/>
  <c r="H526"/>
  <c r="J526" s="1"/>
  <c r="F526"/>
  <c r="H478"/>
  <c r="J478" s="1"/>
  <c r="F478"/>
  <c r="H455"/>
  <c r="L455" s="1"/>
  <c r="N455" s="1"/>
  <c r="Q455" s="1"/>
  <c r="F455"/>
  <c r="H413"/>
  <c r="L413" s="1"/>
  <c r="N413" s="1"/>
  <c r="Q413" s="1"/>
  <c r="T413" s="1"/>
  <c r="F413"/>
  <c r="H391"/>
  <c r="J391" s="1"/>
  <c r="F391"/>
  <c r="AE370"/>
  <c r="AF370" s="1"/>
  <c r="H350"/>
  <c r="F350"/>
  <c r="V308"/>
  <c r="W308" s="1"/>
  <c r="Y308" s="1"/>
  <c r="H285"/>
  <c r="J285" s="1"/>
  <c r="F285"/>
  <c r="S262"/>
  <c r="T262" s="1"/>
  <c r="H180"/>
  <c r="J180" s="1"/>
  <c r="F180"/>
  <c r="H148"/>
  <c r="F148"/>
  <c r="H117"/>
  <c r="J117" s="1"/>
  <c r="F117"/>
  <c r="H73"/>
  <c r="F73"/>
  <c r="H47"/>
  <c r="L47" s="1"/>
  <c r="N47" s="1"/>
  <c r="P47" s="1"/>
  <c r="F47"/>
  <c r="H31"/>
  <c r="J31" s="1"/>
  <c r="F31"/>
  <c r="V854"/>
  <c r="W854" s="1"/>
  <c r="Y854" s="1"/>
  <c r="AB848"/>
  <c r="AC848" s="1"/>
  <c r="N640"/>
  <c r="Q640" s="1"/>
  <c r="T640" s="1"/>
  <c r="H640"/>
  <c r="J640" s="1"/>
  <c r="F640"/>
  <c r="AE592"/>
  <c r="AF592" s="1"/>
  <c r="N412"/>
  <c r="Q412" s="1"/>
  <c r="T412" s="1"/>
  <c r="U412" s="1"/>
  <c r="V412" s="1"/>
  <c r="H412"/>
  <c r="J412" s="1"/>
  <c r="F412"/>
  <c r="N390"/>
  <c r="Q390" s="1"/>
  <c r="T390" s="1"/>
  <c r="H390"/>
  <c r="J390" s="1"/>
  <c r="F390"/>
  <c r="V307"/>
  <c r="W307" s="1"/>
  <c r="M179"/>
  <c r="N179" s="1"/>
  <c r="H179"/>
  <c r="J179" s="1"/>
  <c r="F179"/>
  <c r="M147"/>
  <c r="N147" s="1"/>
  <c r="H147"/>
  <c r="J147" s="1"/>
  <c r="F147"/>
  <c r="N116"/>
  <c r="H116"/>
  <c r="J116" s="1"/>
  <c r="F116"/>
  <c r="M72"/>
  <c r="N72" s="1"/>
  <c r="P72" s="1"/>
  <c r="H72"/>
  <c r="J72" s="1"/>
  <c r="F72"/>
  <c r="H773"/>
  <c r="F773"/>
  <c r="H676"/>
  <c r="F676"/>
  <c r="H639"/>
  <c r="F639"/>
  <c r="H611"/>
  <c r="F611"/>
  <c r="H591"/>
  <c r="L591" s="1"/>
  <c r="N591" s="1"/>
  <c r="Q591" s="1"/>
  <c r="F591"/>
  <c r="H735"/>
  <c r="J735" s="1"/>
  <c r="F735"/>
  <c r="H710"/>
  <c r="L710" s="1"/>
  <c r="N710" s="1"/>
  <c r="Q710" s="1"/>
  <c r="T710" s="1"/>
  <c r="F710"/>
  <c r="H638"/>
  <c r="F638"/>
  <c r="H477"/>
  <c r="J477" s="1"/>
  <c r="F477"/>
  <c r="H454"/>
  <c r="L454" s="1"/>
  <c r="F454"/>
  <c r="AB827"/>
  <c r="AC827" s="1"/>
  <c r="AE827" s="1"/>
  <c r="AB801"/>
  <c r="AC801" s="1"/>
  <c r="AE801" s="1"/>
  <c r="AB796"/>
  <c r="AC796" s="1"/>
  <c r="AE796" s="1"/>
  <c r="H790"/>
  <c r="J790" s="1"/>
  <c r="F790"/>
  <c r="H783"/>
  <c r="L783" s="1"/>
  <c r="M783" s="1"/>
  <c r="F783"/>
  <c r="H772"/>
  <c r="J772" s="1"/>
  <c r="F772"/>
  <c r="H760"/>
  <c r="J760" s="1"/>
  <c r="F760"/>
  <c r="H734"/>
  <c r="L734" s="1"/>
  <c r="N734" s="1"/>
  <c r="Q734" s="1"/>
  <c r="T734" s="1"/>
  <c r="F734"/>
  <c r="H709"/>
  <c r="L709" s="1"/>
  <c r="N709" s="1"/>
  <c r="Q709" s="1"/>
  <c r="T709" s="1"/>
  <c r="U709" s="1"/>
  <c r="V709" s="1"/>
  <c r="F709"/>
  <c r="H675"/>
  <c r="L675" s="1"/>
  <c r="N675" s="1"/>
  <c r="Q675" s="1"/>
  <c r="T675" s="1"/>
  <c r="F675"/>
  <c r="H637"/>
  <c r="J637" s="1"/>
  <c r="F637"/>
  <c r="AA610"/>
  <c r="H610"/>
  <c r="F610"/>
  <c r="H590"/>
  <c r="F590"/>
  <c r="H579"/>
  <c r="F579"/>
  <c r="H552"/>
  <c r="F552"/>
  <c r="H532"/>
  <c r="F532"/>
  <c r="H525"/>
  <c r="F525"/>
  <c r="H514"/>
  <c r="F514"/>
  <c r="H495"/>
  <c r="F495"/>
  <c r="H476"/>
  <c r="F476"/>
  <c r="H453"/>
  <c r="F453"/>
  <c r="H411"/>
  <c r="F411"/>
  <c r="H389"/>
  <c r="F389"/>
  <c r="H366"/>
  <c r="F366"/>
  <c r="H349"/>
  <c r="F349"/>
  <c r="AD330"/>
  <c r="V306"/>
  <c r="W306" s="1"/>
  <c r="H284"/>
  <c r="F284"/>
  <c r="Y261"/>
  <c r="Z261" s="1"/>
  <c r="H249"/>
  <c r="J249" s="1"/>
  <c r="F249"/>
  <c r="H239"/>
  <c r="F239"/>
  <c r="H225"/>
  <c r="J225" s="1"/>
  <c r="F225"/>
  <c r="H206"/>
  <c r="F206"/>
  <c r="R178"/>
  <c r="H178"/>
  <c r="J178" s="1"/>
  <c r="F178"/>
  <c r="R146"/>
  <c r="H146"/>
  <c r="J146" s="1"/>
  <c r="F146"/>
  <c r="H115"/>
  <c r="F115"/>
  <c r="H95"/>
  <c r="L95" s="1"/>
  <c r="F95"/>
  <c r="H71"/>
  <c r="J71" s="1"/>
  <c r="F71"/>
  <c r="H46"/>
  <c r="F46"/>
  <c r="H14"/>
  <c r="J14" s="1"/>
  <c r="F14"/>
  <c r="H800"/>
  <c r="L800" s="1"/>
  <c r="N800" s="1"/>
  <c r="Q800" s="1"/>
  <c r="T800" s="1"/>
  <c r="U800" s="1"/>
  <c r="F800"/>
  <c r="H795"/>
  <c r="J795" s="1"/>
  <c r="F795"/>
  <c r="H789"/>
  <c r="F789"/>
  <c r="H636"/>
  <c r="J636" s="1"/>
  <c r="F636"/>
  <c r="AE494"/>
  <c r="AF494" s="1"/>
  <c r="H348"/>
  <c r="F348"/>
  <c r="AD329"/>
  <c r="V305"/>
  <c r="W305" s="1"/>
  <c r="H283"/>
  <c r="F283"/>
  <c r="Y260"/>
  <c r="Z260" s="1"/>
  <c r="L177"/>
  <c r="J177"/>
  <c r="H145"/>
  <c r="F145"/>
  <c r="H114"/>
  <c r="J114" s="1"/>
  <c r="F114"/>
  <c r="L70"/>
  <c r="J70"/>
  <c r="AB838"/>
  <c r="AC838" s="1"/>
  <c r="N733"/>
  <c r="Q733" s="1"/>
  <c r="T733" s="1"/>
  <c r="H733"/>
  <c r="J733" s="1"/>
  <c r="F733"/>
  <c r="N708"/>
  <c r="Q708" s="1"/>
  <c r="T708" s="1"/>
  <c r="H708"/>
  <c r="J708" s="1"/>
  <c r="F708"/>
  <c r="AE635"/>
  <c r="AF635" s="1"/>
  <c r="N551"/>
  <c r="Q551" s="1"/>
  <c r="T551" s="1"/>
  <c r="H551"/>
  <c r="J551" s="1"/>
  <c r="F551"/>
  <c r="N452"/>
  <c r="Q452" s="1"/>
  <c r="T452" s="1"/>
  <c r="U452" s="1"/>
  <c r="V452" s="1"/>
  <c r="H452"/>
  <c r="J452" s="1"/>
  <c r="F452"/>
  <c r="N410"/>
  <c r="Q410" s="1"/>
  <c r="T410" s="1"/>
  <c r="H410"/>
  <c r="J410" s="1"/>
  <c r="F410"/>
  <c r="N388"/>
  <c r="Q388" s="1"/>
  <c r="T388" s="1"/>
  <c r="W388" s="1"/>
  <c r="H388"/>
  <c r="J388" s="1"/>
  <c r="F388"/>
  <c r="N347"/>
  <c r="Q347" s="1"/>
  <c r="T347" s="1"/>
  <c r="H347"/>
  <c r="J347" s="1"/>
  <c r="F347"/>
  <c r="V304"/>
  <c r="W304" s="1"/>
  <c r="AB282"/>
  <c r="AC282" s="1"/>
  <c r="R176"/>
  <c r="N176"/>
  <c r="P176" s="1"/>
  <c r="Q176" s="1"/>
  <c r="H176"/>
  <c r="J176" s="1"/>
  <c r="F176"/>
  <c r="R144"/>
  <c r="N144"/>
  <c r="H144"/>
  <c r="J144" s="1"/>
  <c r="F144"/>
  <c r="N113"/>
  <c r="H113"/>
  <c r="J113" s="1"/>
  <c r="F113"/>
  <c r="S94"/>
  <c r="T94" s="1"/>
  <c r="AB30"/>
  <c r="AC30" s="1"/>
  <c r="AA771"/>
  <c r="AB771" s="1"/>
  <c r="AC771" s="1"/>
  <c r="H732"/>
  <c r="L732" s="1"/>
  <c r="N732" s="1"/>
  <c r="Q732" s="1"/>
  <c r="T732" s="1"/>
  <c r="U732" s="1"/>
  <c r="V732" s="1"/>
  <c r="F732"/>
  <c r="H707"/>
  <c r="L707" s="1"/>
  <c r="N707" s="1"/>
  <c r="Q707" s="1"/>
  <c r="T707" s="1"/>
  <c r="F707"/>
  <c r="AA674"/>
  <c r="X674"/>
  <c r="T674"/>
  <c r="U674" s="1"/>
  <c r="V674" s="1"/>
  <c r="H674"/>
  <c r="L674" s="1"/>
  <c r="N674" s="1"/>
  <c r="F674"/>
  <c r="H634"/>
  <c r="F634"/>
  <c r="H589"/>
  <c r="L589" s="1"/>
  <c r="N589" s="1"/>
  <c r="Q589" s="1"/>
  <c r="T589" s="1"/>
  <c r="F589"/>
  <c r="AE578"/>
  <c r="AF578" s="1"/>
  <c r="H550"/>
  <c r="J550" s="1"/>
  <c r="F550"/>
  <c r="H513"/>
  <c r="L513" s="1"/>
  <c r="N513" s="1"/>
  <c r="Q513" s="1"/>
  <c r="T513" s="1"/>
  <c r="F513"/>
  <c r="H475"/>
  <c r="J475" s="1"/>
  <c r="F475"/>
  <c r="H451"/>
  <c r="J451" s="1"/>
  <c r="F451"/>
  <c r="H409"/>
  <c r="J409" s="1"/>
  <c r="F409"/>
  <c r="H387"/>
  <c r="J387" s="1"/>
  <c r="F387"/>
  <c r="H346"/>
  <c r="L346" s="1"/>
  <c r="N346" s="1"/>
  <c r="Q346" s="1"/>
  <c r="T346" s="1"/>
  <c r="U346" s="1"/>
  <c r="V346" s="1"/>
  <c r="F346"/>
  <c r="T303"/>
  <c r="V303" s="1"/>
  <c r="H281"/>
  <c r="J281" s="1"/>
  <c r="F281"/>
  <c r="S259"/>
  <c r="T259" s="1"/>
  <c r="R175"/>
  <c r="H175"/>
  <c r="J175" s="1"/>
  <c r="F175"/>
  <c r="R143"/>
  <c r="H143"/>
  <c r="L143" s="1"/>
  <c r="F143"/>
  <c r="H112"/>
  <c r="F112"/>
  <c r="L69"/>
  <c r="J69"/>
  <c r="P45"/>
  <c r="Q45" s="1"/>
  <c r="AA825"/>
  <c r="Y825"/>
  <c r="Z825" s="1"/>
  <c r="AD815"/>
  <c r="AE815" s="1"/>
  <c r="AF815" s="1"/>
  <c r="H731"/>
  <c r="F731"/>
  <c r="H706"/>
  <c r="L706" s="1"/>
  <c r="N706" s="1"/>
  <c r="Q706" s="1"/>
  <c r="T706" s="1"/>
  <c r="F706"/>
  <c r="AA673"/>
  <c r="H673"/>
  <c r="J673" s="1"/>
  <c r="F673"/>
  <c r="S633"/>
  <c r="Q633"/>
  <c r="H608"/>
  <c r="J608" s="1"/>
  <c r="F608"/>
  <c r="H588"/>
  <c r="J588" s="1"/>
  <c r="F588"/>
  <c r="H563"/>
  <c r="J563" s="1"/>
  <c r="F563"/>
  <c r="Y549"/>
  <c r="Z549" s="1"/>
  <c r="AE493"/>
  <c r="AF493" s="1"/>
  <c r="AA474"/>
  <c r="Y474"/>
  <c r="Z474" s="1"/>
  <c r="H450"/>
  <c r="L450" s="1"/>
  <c r="N450" s="1"/>
  <c r="Q450" s="1"/>
  <c r="T450" s="1"/>
  <c r="F450"/>
  <c r="H433"/>
  <c r="L433" s="1"/>
  <c r="N433" s="1"/>
  <c r="Q433" s="1"/>
  <c r="T433" s="1"/>
  <c r="F433"/>
  <c r="H408"/>
  <c r="F408"/>
  <c r="H386"/>
  <c r="L386" s="1"/>
  <c r="N386" s="1"/>
  <c r="Q386" s="1"/>
  <c r="T386" s="1"/>
  <c r="F386"/>
  <c r="H345"/>
  <c r="L345" s="1"/>
  <c r="N345" s="1"/>
  <c r="Q345" s="1"/>
  <c r="T345" s="1"/>
  <c r="F345"/>
  <c r="T302"/>
  <c r="V302" s="1"/>
  <c r="H280"/>
  <c r="J280" s="1"/>
  <c r="F280"/>
  <c r="H224"/>
  <c r="L224" s="1"/>
  <c r="M224" s="1"/>
  <c r="F224"/>
  <c r="H205"/>
  <c r="J205" s="1"/>
  <c r="F205"/>
  <c r="R174"/>
  <c r="H174"/>
  <c r="J174" s="1"/>
  <c r="F174"/>
  <c r="R142"/>
  <c r="H142"/>
  <c r="F142"/>
  <c r="H111"/>
  <c r="J111" s="1"/>
  <c r="F111"/>
  <c r="H93"/>
  <c r="L93" s="1"/>
  <c r="M93" s="1"/>
  <c r="F93"/>
  <c r="H68"/>
  <c r="L68" s="1"/>
  <c r="N68" s="1"/>
  <c r="F68"/>
  <c r="H13"/>
  <c r="F13"/>
  <c r="Y824"/>
  <c r="Z824" s="1"/>
  <c r="AE813"/>
  <c r="AF813" s="1"/>
  <c r="H799"/>
  <c r="F799"/>
  <c r="AB794"/>
  <c r="AC794" s="1"/>
  <c r="H782"/>
  <c r="F782"/>
  <c r="H770"/>
  <c r="L770" s="1"/>
  <c r="N770" s="1"/>
  <c r="Q770" s="1"/>
  <c r="T770" s="1"/>
  <c r="F770"/>
  <c r="AB756"/>
  <c r="AC756" s="1"/>
  <c r="H752"/>
  <c r="J752" s="1"/>
  <c r="F752"/>
  <c r="H730"/>
  <c r="J730" s="1"/>
  <c r="F730"/>
  <c r="H705"/>
  <c r="J705" s="1"/>
  <c r="F705"/>
  <c r="AD672"/>
  <c r="Q672"/>
  <c r="S672" s="1"/>
  <c r="T672" s="1"/>
  <c r="V672" s="1"/>
  <c r="H672"/>
  <c r="J672" s="1"/>
  <c r="F672"/>
  <c r="S607"/>
  <c r="G607"/>
  <c r="H607" s="1"/>
  <c r="F607"/>
  <c r="H587"/>
  <c r="L587" s="1"/>
  <c r="N587" s="1"/>
  <c r="Q587" s="1"/>
  <c r="T587" s="1"/>
  <c r="F587"/>
  <c r="H577"/>
  <c r="L577" s="1"/>
  <c r="N577" s="1"/>
  <c r="Q577" s="1"/>
  <c r="T577" s="1"/>
  <c r="F577"/>
  <c r="H562"/>
  <c r="J562" s="1"/>
  <c r="F562"/>
  <c r="H548"/>
  <c r="J548" s="1"/>
  <c r="F548"/>
  <c r="AB531"/>
  <c r="AC531" s="1"/>
  <c r="H512"/>
  <c r="J512" s="1"/>
  <c r="F512"/>
  <c r="AB492"/>
  <c r="AC492" s="1"/>
  <c r="AE492" s="1"/>
  <c r="AF492" s="1"/>
  <c r="H473"/>
  <c r="J473" s="1"/>
  <c r="F473"/>
  <c r="H449"/>
  <c r="J449" s="1"/>
  <c r="F449"/>
  <c r="H407"/>
  <c r="J407" s="1"/>
  <c r="F407"/>
  <c r="H385"/>
  <c r="J385" s="1"/>
  <c r="F385"/>
  <c r="V344"/>
  <c r="W344" s="1"/>
  <c r="Y344" s="1"/>
  <c r="T301"/>
  <c r="H279"/>
  <c r="F279"/>
  <c r="P258"/>
  <c r="Q258" s="1"/>
  <c r="H223"/>
  <c r="F223"/>
  <c r="H204"/>
  <c r="L204" s="1"/>
  <c r="M204" s="1"/>
  <c r="F204"/>
  <c r="H173"/>
  <c r="F173"/>
  <c r="H141"/>
  <c r="L141" s="1"/>
  <c r="N141" s="1"/>
  <c r="P141" s="1"/>
  <c r="F141"/>
  <c r="H110"/>
  <c r="L110" s="1"/>
  <c r="M110" s="1"/>
  <c r="F110"/>
  <c r="S92"/>
  <c r="T92" s="1"/>
  <c r="V92" s="1"/>
  <c r="H67"/>
  <c r="J67" s="1"/>
  <c r="F67"/>
  <c r="H44"/>
  <c r="J44" s="1"/>
  <c r="F44"/>
  <c r="L29"/>
  <c r="N29" s="1"/>
  <c r="P29" s="1"/>
  <c r="J29"/>
  <c r="AE837"/>
  <c r="AF837" s="1"/>
  <c r="AE769"/>
  <c r="AF769" s="1"/>
  <c r="H729"/>
  <c r="L729" s="1"/>
  <c r="N729" s="1"/>
  <c r="Q729" s="1"/>
  <c r="T729" s="1"/>
  <c r="U729" s="1"/>
  <c r="V729" s="1"/>
  <c r="F729"/>
  <c r="H704"/>
  <c r="L704" s="1"/>
  <c r="N704" s="1"/>
  <c r="Q704" s="1"/>
  <c r="T704" s="1"/>
  <c r="F704"/>
  <c r="H631"/>
  <c r="J631" s="1"/>
  <c r="F631"/>
  <c r="H606"/>
  <c r="J606" s="1"/>
  <c r="F606"/>
  <c r="H472"/>
  <c r="L472" s="1"/>
  <c r="N472" s="1"/>
  <c r="Q472" s="1"/>
  <c r="T472" s="1"/>
  <c r="F472"/>
  <c r="H448"/>
  <c r="F448"/>
  <c r="H406"/>
  <c r="L406" s="1"/>
  <c r="N406" s="1"/>
  <c r="Q406" s="1"/>
  <c r="T406" s="1"/>
  <c r="F406"/>
  <c r="T300"/>
  <c r="V300" s="1"/>
  <c r="H278"/>
  <c r="J278" s="1"/>
  <c r="F278"/>
  <c r="P257"/>
  <c r="Q257" s="1"/>
  <c r="S257" s="1"/>
  <c r="H172"/>
  <c r="L172" s="1"/>
  <c r="M172" s="1"/>
  <c r="F172"/>
  <c r="H140"/>
  <c r="J140" s="1"/>
  <c r="F140"/>
  <c r="H109"/>
  <c r="L109" s="1"/>
  <c r="M109" s="1"/>
  <c r="F109"/>
  <c r="X66"/>
  <c r="H66"/>
  <c r="F66"/>
  <c r="X43"/>
  <c r="L43"/>
  <c r="N43" s="1"/>
  <c r="P43" s="1"/>
  <c r="Q43" s="1"/>
  <c r="J43"/>
  <c r="X28"/>
  <c r="H28"/>
  <c r="J28" s="1"/>
  <c r="F28"/>
  <c r="AB12"/>
  <c r="AC12" s="1"/>
  <c r="AB845"/>
  <c r="AC845" s="1"/>
  <c r="AE845" s="1"/>
  <c r="AF845" s="1"/>
  <c r="Y793"/>
  <c r="Z793" s="1"/>
  <c r="H788"/>
  <c r="F788"/>
  <c r="H781"/>
  <c r="F781"/>
  <c r="H728"/>
  <c r="F728"/>
  <c r="H703"/>
  <c r="F703"/>
  <c r="R656"/>
  <c r="H656"/>
  <c r="L656" s="1"/>
  <c r="N656" s="1"/>
  <c r="Q656" s="1"/>
  <c r="F656"/>
  <c r="H630"/>
  <c r="L630" s="1"/>
  <c r="N630" s="1"/>
  <c r="Q630" s="1"/>
  <c r="T630" s="1"/>
  <c r="F630"/>
  <c r="H605"/>
  <c r="L605" s="1"/>
  <c r="N605" s="1"/>
  <c r="Q605" s="1"/>
  <c r="T605" s="1"/>
  <c r="F605"/>
  <c r="H586"/>
  <c r="F586"/>
  <c r="H576"/>
  <c r="L576" s="1"/>
  <c r="N576" s="1"/>
  <c r="Q576" s="1"/>
  <c r="T576" s="1"/>
  <c r="F576"/>
  <c r="H547"/>
  <c r="L547" s="1"/>
  <c r="N547" s="1"/>
  <c r="Q547" s="1"/>
  <c r="T547" s="1"/>
  <c r="F547"/>
  <c r="H524"/>
  <c r="L524" s="1"/>
  <c r="N524" s="1"/>
  <c r="Q524" s="1"/>
  <c r="T524" s="1"/>
  <c r="F524"/>
  <c r="H511"/>
  <c r="F511"/>
  <c r="AE491"/>
  <c r="AF491" s="1"/>
  <c r="H447"/>
  <c r="J447" s="1"/>
  <c r="F447"/>
  <c r="H429"/>
  <c r="J429" s="1"/>
  <c r="F429"/>
  <c r="H405"/>
  <c r="L405" s="1"/>
  <c r="N405" s="1"/>
  <c r="Q405" s="1"/>
  <c r="T405" s="1"/>
  <c r="F405"/>
  <c r="H384"/>
  <c r="L384" s="1"/>
  <c r="N384" s="1"/>
  <c r="Q384" s="1"/>
  <c r="T384" s="1"/>
  <c r="F384"/>
  <c r="H343"/>
  <c r="J343" s="1"/>
  <c r="F343"/>
  <c r="H328"/>
  <c r="J328" s="1"/>
  <c r="E328"/>
  <c r="T299"/>
  <c r="V299" s="1"/>
  <c r="H277"/>
  <c r="L277" s="1"/>
  <c r="N277" s="1"/>
  <c r="F277"/>
  <c r="H248"/>
  <c r="F248"/>
  <c r="H238"/>
  <c r="J238" s="1"/>
  <c r="F238"/>
  <c r="H222"/>
  <c r="F222"/>
  <c r="H203"/>
  <c r="J203" s="1"/>
  <c r="F203"/>
  <c r="R171"/>
  <c r="H171"/>
  <c r="L171" s="1"/>
  <c r="M171" s="1"/>
  <c r="F171"/>
  <c r="R139"/>
  <c r="H139"/>
  <c r="F139"/>
  <c r="H108"/>
  <c r="J108" s="1"/>
  <c r="F108"/>
  <c r="H91"/>
  <c r="F91"/>
  <c r="H65"/>
  <c r="L65" s="1"/>
  <c r="F65"/>
  <c r="AE42"/>
  <c r="AF42" s="1"/>
  <c r="AA655"/>
  <c r="X655"/>
  <c r="H655"/>
  <c r="L655" s="1"/>
  <c r="N655" s="1"/>
  <c r="Q655" s="1"/>
  <c r="T655" s="1"/>
  <c r="F655"/>
  <c r="Y629"/>
  <c r="Z629" s="1"/>
  <c r="AB629" s="1"/>
  <c r="H604"/>
  <c r="J604" s="1"/>
  <c r="F604"/>
  <c r="H859"/>
  <c r="J859" s="1"/>
  <c r="F859"/>
  <c r="AD755"/>
  <c r="AA755"/>
  <c r="X755"/>
  <c r="U755"/>
  <c r="R755"/>
  <c r="I755"/>
  <c r="H755"/>
  <c r="L755" s="1"/>
  <c r="M755" s="1"/>
  <c r="E755"/>
  <c r="AB844"/>
  <c r="AC844" s="1"/>
  <c r="N822"/>
  <c r="Q822" s="1"/>
  <c r="T822" s="1"/>
  <c r="J822"/>
  <c r="N727"/>
  <c r="Q727" s="1"/>
  <c r="T727" s="1"/>
  <c r="U727" s="1"/>
  <c r="V727" s="1"/>
  <c r="H727"/>
  <c r="J727" s="1"/>
  <c r="F727"/>
  <c r="N702"/>
  <c r="Q702" s="1"/>
  <c r="T702" s="1"/>
  <c r="H702"/>
  <c r="J702" s="1"/>
  <c r="F702"/>
  <c r="AA670"/>
  <c r="N670"/>
  <c r="Q670" s="1"/>
  <c r="T670" s="1"/>
  <c r="H670"/>
  <c r="J670" s="1"/>
  <c r="F670"/>
  <c r="N628"/>
  <c r="Q628" s="1"/>
  <c r="T628" s="1"/>
  <c r="U628" s="1"/>
  <c r="V628" s="1"/>
  <c r="H628"/>
  <c r="J628" s="1"/>
  <c r="F628"/>
  <c r="N546"/>
  <c r="Q546" s="1"/>
  <c r="T546" s="1"/>
  <c r="U546" s="1"/>
  <c r="V546" s="1"/>
  <c r="H546"/>
  <c r="J546" s="1"/>
  <c r="F546"/>
  <c r="N533"/>
  <c r="Q533" s="1"/>
  <c r="T533" s="1"/>
  <c r="H533"/>
  <c r="J533" s="1"/>
  <c r="F533"/>
  <c r="N530"/>
  <c r="Q530" s="1"/>
  <c r="T530" s="1"/>
  <c r="H530"/>
  <c r="J530" s="1"/>
  <c r="F530"/>
  <c r="N529"/>
  <c r="Q529" s="1"/>
  <c r="T529" s="1"/>
  <c r="U529" s="1"/>
  <c r="V529" s="1"/>
  <c r="H529"/>
  <c r="J529" s="1"/>
  <c r="F529"/>
  <c r="N523"/>
  <c r="Q523" s="1"/>
  <c r="T523" s="1"/>
  <c r="U523" s="1"/>
  <c r="V523" s="1"/>
  <c r="H523"/>
  <c r="J523" s="1"/>
  <c r="F523"/>
  <c r="AB490"/>
  <c r="AC490" s="1"/>
  <c r="N510"/>
  <c r="Q510" s="1"/>
  <c r="T510" s="1"/>
  <c r="U510" s="1"/>
  <c r="V510" s="1"/>
  <c r="H510"/>
  <c r="J510" s="1"/>
  <c r="F510"/>
  <c r="N471"/>
  <c r="Q471" s="1"/>
  <c r="T471" s="1"/>
  <c r="H471"/>
  <c r="J471" s="1"/>
  <c r="F471"/>
  <c r="N446"/>
  <c r="Q446" s="1"/>
  <c r="T446" s="1"/>
  <c r="H446"/>
  <c r="J446" s="1"/>
  <c r="F446"/>
  <c r="N428"/>
  <c r="Q428" s="1"/>
  <c r="T428" s="1"/>
  <c r="U428" s="1"/>
  <c r="V428" s="1"/>
  <c r="H428"/>
  <c r="J428" s="1"/>
  <c r="F428"/>
  <c r="N404"/>
  <c r="Q404" s="1"/>
  <c r="T404" s="1"/>
  <c r="U404" s="1"/>
  <c r="V404" s="1"/>
  <c r="H404"/>
  <c r="J404" s="1"/>
  <c r="F404"/>
  <c r="N383"/>
  <c r="Q383" s="1"/>
  <c r="T383" s="1"/>
  <c r="H383"/>
  <c r="J383" s="1"/>
  <c r="F383"/>
  <c r="N342"/>
  <c r="Q342" s="1"/>
  <c r="T342" s="1"/>
  <c r="H342"/>
  <c r="J342" s="1"/>
  <c r="F342"/>
  <c r="T298"/>
  <c r="P276"/>
  <c r="Q276" s="1"/>
  <c r="S276" s="1"/>
  <c r="P256"/>
  <c r="Q256" s="1"/>
  <c r="M247"/>
  <c r="N247" s="1"/>
  <c r="P247" s="1"/>
  <c r="H247"/>
  <c r="J247" s="1"/>
  <c r="F247"/>
  <c r="M237"/>
  <c r="N237" s="1"/>
  <c r="P237" s="1"/>
  <c r="H237"/>
  <c r="J237" s="1"/>
  <c r="F237"/>
  <c r="M221"/>
  <c r="N221" s="1"/>
  <c r="P221" s="1"/>
  <c r="H221"/>
  <c r="J221" s="1"/>
  <c r="F221"/>
  <c r="M202"/>
  <c r="N202" s="1"/>
  <c r="H202"/>
  <c r="J202" s="1"/>
  <c r="F202"/>
  <c r="R170"/>
  <c r="M170"/>
  <c r="N170" s="1"/>
  <c r="P170" s="1"/>
  <c r="Q170" s="1"/>
  <c r="H170"/>
  <c r="J170" s="1"/>
  <c r="F170"/>
  <c r="R138"/>
  <c r="M138"/>
  <c r="N138" s="1"/>
  <c r="H138"/>
  <c r="J138" s="1"/>
  <c r="F138"/>
  <c r="M107"/>
  <c r="N107" s="1"/>
  <c r="P107" s="1"/>
  <c r="H107"/>
  <c r="J107" s="1"/>
  <c r="F107"/>
  <c r="M90"/>
  <c r="N90" s="1"/>
  <c r="P90" s="1"/>
  <c r="H90"/>
  <c r="J90" s="1"/>
  <c r="F90"/>
  <c r="M64"/>
  <c r="N64" s="1"/>
  <c r="P64" s="1"/>
  <c r="H64"/>
  <c r="J64" s="1"/>
  <c r="F64"/>
  <c r="V41"/>
  <c r="W41" s="1"/>
  <c r="Y41" s="1"/>
  <c r="Z41" s="1"/>
  <c r="M27"/>
  <c r="N27" s="1"/>
  <c r="H27"/>
  <c r="J27" s="1"/>
  <c r="F27"/>
  <c r="M11"/>
  <c r="N11" s="1"/>
  <c r="P11" s="1"/>
  <c r="H11"/>
  <c r="J11" s="1"/>
  <c r="F11"/>
  <c r="AB768"/>
  <c r="AC768" s="1"/>
  <c r="AA669"/>
  <c r="X669"/>
  <c r="H669"/>
  <c r="J669" s="1"/>
  <c r="E669"/>
  <c r="F669" s="1"/>
  <c r="H627"/>
  <c r="L627" s="1"/>
  <c r="N627" s="1"/>
  <c r="Q627" s="1"/>
  <c r="T627" s="1"/>
  <c r="F627"/>
  <c r="H603"/>
  <c r="J603" s="1"/>
  <c r="F603"/>
  <c r="H585"/>
  <c r="L585" s="1"/>
  <c r="N585" s="1"/>
  <c r="Q585" s="1"/>
  <c r="T585" s="1"/>
  <c r="F585"/>
  <c r="AB545"/>
  <c r="AC545" s="1"/>
  <c r="AE545" s="1"/>
  <c r="H470"/>
  <c r="L470" s="1"/>
  <c r="N470" s="1"/>
  <c r="Q470" s="1"/>
  <c r="T470" s="1"/>
  <c r="U470" s="1"/>
  <c r="V470" s="1"/>
  <c r="F470"/>
  <c r="H445"/>
  <c r="L445" s="1"/>
  <c r="N445" s="1"/>
  <c r="Q445" s="1"/>
  <c r="T445" s="1"/>
  <c r="F445"/>
  <c r="AE403"/>
  <c r="AF403" s="1"/>
  <c r="Y382"/>
  <c r="Z382" s="1"/>
  <c r="H341"/>
  <c r="L341" s="1"/>
  <c r="N341" s="1"/>
  <c r="Q341" s="1"/>
  <c r="T341" s="1"/>
  <c r="U341" s="1"/>
  <c r="F341"/>
  <c r="R327"/>
  <c r="H327"/>
  <c r="J327" s="1"/>
  <c r="E327"/>
  <c r="V836"/>
  <c r="W836" s="1"/>
  <c r="AA767"/>
  <c r="AB767" s="1"/>
  <c r="AC767" s="1"/>
  <c r="N798"/>
  <c r="Q798" s="1"/>
  <c r="T798" s="1"/>
  <c r="H798"/>
  <c r="J798" s="1"/>
  <c r="F798"/>
  <c r="N792"/>
  <c r="Q792" s="1"/>
  <c r="T792" s="1"/>
  <c r="H792"/>
  <c r="J792" s="1"/>
  <c r="F792"/>
  <c r="N787"/>
  <c r="Q787" s="1"/>
  <c r="T787" s="1"/>
  <c r="U787" s="1"/>
  <c r="V787" s="1"/>
  <c r="H787"/>
  <c r="J787" s="1"/>
  <c r="F787"/>
  <c r="N780"/>
  <c r="AA668"/>
  <c r="X668"/>
  <c r="M668"/>
  <c r="N668" s="1"/>
  <c r="Q668" s="1"/>
  <c r="T668" s="1"/>
  <c r="V668" s="1"/>
  <c r="I668"/>
  <c r="H668"/>
  <c r="E668"/>
  <c r="F668" s="1"/>
  <c r="N693"/>
  <c r="Q693" s="1"/>
  <c r="T693" s="1"/>
  <c r="U693" s="1"/>
  <c r="V693" s="1"/>
  <c r="H693"/>
  <c r="J693" s="1"/>
  <c r="F693"/>
  <c r="AA602"/>
  <c r="N602"/>
  <c r="Q602" s="1"/>
  <c r="T602" s="1"/>
  <c r="H602"/>
  <c r="J602" s="1"/>
  <c r="F602"/>
  <c r="N584"/>
  <c r="Q584" s="1"/>
  <c r="T584" s="1"/>
  <c r="H584"/>
  <c r="J584" s="1"/>
  <c r="F584"/>
  <c r="Q568"/>
  <c r="T568" s="1"/>
  <c r="U568" s="1"/>
  <c r="V568" s="1"/>
  <c r="N444"/>
  <c r="Q444" s="1"/>
  <c r="T444" s="1"/>
  <c r="H444"/>
  <c r="J444" s="1"/>
  <c r="F444"/>
  <c r="N381"/>
  <c r="Q381" s="1"/>
  <c r="T381" s="1"/>
  <c r="J381"/>
  <c r="T297"/>
  <c r="AB275"/>
  <c r="AC275" s="1"/>
  <c r="AE275" s="1"/>
  <c r="Y220"/>
  <c r="Z220" s="1"/>
  <c r="AB220" s="1"/>
  <c r="Y201"/>
  <c r="Z201" s="1"/>
  <c r="AB201" s="1"/>
  <c r="M169"/>
  <c r="N169" s="1"/>
  <c r="H169"/>
  <c r="J169" s="1"/>
  <c r="F169"/>
  <c r="M137"/>
  <c r="N137" s="1"/>
  <c r="P137" s="1"/>
  <c r="H137"/>
  <c r="J137" s="1"/>
  <c r="F137"/>
  <c r="M106"/>
  <c r="N106" s="1"/>
  <c r="H106"/>
  <c r="J106" s="1"/>
  <c r="F106"/>
  <c r="N40"/>
  <c r="H40"/>
  <c r="J40" s="1"/>
  <c r="F40"/>
  <c r="M26"/>
  <c r="N26" s="1"/>
  <c r="H26"/>
  <c r="J26" s="1"/>
  <c r="F26"/>
  <c r="M10"/>
  <c r="N10" s="1"/>
  <c r="P10" s="1"/>
  <c r="H10"/>
  <c r="J10" s="1"/>
  <c r="F10"/>
  <c r="AB843"/>
  <c r="AC843" s="1"/>
  <c r="AE835"/>
  <c r="AF835" s="1"/>
  <c r="M779"/>
  <c r="N779" s="1"/>
  <c r="Q779" s="1"/>
  <c r="T779" s="1"/>
  <c r="U779" s="1"/>
  <c r="V779" s="1"/>
  <c r="N777"/>
  <c r="Q777" s="1"/>
  <c r="T777" s="1"/>
  <c r="U777" s="1"/>
  <c r="V777" s="1"/>
  <c r="N766"/>
  <c r="Q766" s="1"/>
  <c r="T766" s="1"/>
  <c r="V766" s="1"/>
  <c r="N764"/>
  <c r="Q764" s="1"/>
  <c r="T764" s="1"/>
  <c r="U764" s="1"/>
  <c r="V764" s="1"/>
  <c r="N726"/>
  <c r="Q726" s="1"/>
  <c r="T726" s="1"/>
  <c r="N701"/>
  <c r="Q701" s="1"/>
  <c r="T701" s="1"/>
  <c r="AA667"/>
  <c r="N667"/>
  <c r="Q667" s="1"/>
  <c r="T667" s="1"/>
  <c r="V667" s="1"/>
  <c r="N692"/>
  <c r="Q692" s="1"/>
  <c r="T692" s="1"/>
  <c r="U692" s="1"/>
  <c r="V692" s="1"/>
  <c r="AA626"/>
  <c r="N626"/>
  <c r="Q626" s="1"/>
  <c r="T626" s="1"/>
  <c r="AA601"/>
  <c r="N601"/>
  <c r="Q601" s="1"/>
  <c r="T601" s="1"/>
  <c r="N583"/>
  <c r="Q583" s="1"/>
  <c r="T583" s="1"/>
  <c r="U583" s="1"/>
  <c r="V583" s="1"/>
  <c r="N567"/>
  <c r="Q567" s="1"/>
  <c r="T567" s="1"/>
  <c r="N544"/>
  <c r="Q544" s="1"/>
  <c r="T544" s="1"/>
  <c r="V544" s="1"/>
  <c r="N509"/>
  <c r="Q509" s="1"/>
  <c r="T509" s="1"/>
  <c r="AB489"/>
  <c r="AC489" s="1"/>
  <c r="AE489" s="1"/>
  <c r="N469"/>
  <c r="Q469" s="1"/>
  <c r="T469" s="1"/>
  <c r="N443"/>
  <c r="Q443" s="1"/>
  <c r="T443" s="1"/>
  <c r="U443" s="1"/>
  <c r="V443" s="1"/>
  <c r="N427"/>
  <c r="Q427" s="1"/>
  <c r="T427" s="1"/>
  <c r="N402"/>
  <c r="Q402" s="1"/>
  <c r="T402" s="1"/>
  <c r="N380"/>
  <c r="Q380" s="1"/>
  <c r="T380" s="1"/>
  <c r="N365"/>
  <c r="Q365" s="1"/>
  <c r="T365" s="1"/>
  <c r="N340"/>
  <c r="Q340" s="1"/>
  <c r="T340" s="1"/>
  <c r="U340" s="1"/>
  <c r="V340" s="1"/>
  <c r="T296"/>
  <c r="P255"/>
  <c r="Q255" s="1"/>
  <c r="Y246"/>
  <c r="Z246" s="1"/>
  <c r="Y236"/>
  <c r="Z236" s="1"/>
  <c r="AB236" s="1"/>
  <c r="M219"/>
  <c r="N219" s="1"/>
  <c r="P219" s="1"/>
  <c r="M200"/>
  <c r="N200" s="1"/>
  <c r="M168"/>
  <c r="N168" s="1"/>
  <c r="M136"/>
  <c r="N136" s="1"/>
  <c r="P136" s="1"/>
  <c r="M105"/>
  <c r="N105" s="1"/>
  <c r="P105" s="1"/>
  <c r="M89"/>
  <c r="N89" s="1"/>
  <c r="N63"/>
  <c r="P63" s="1"/>
  <c r="Q63" s="1"/>
  <c r="S63" s="1"/>
  <c r="M39"/>
  <c r="N39" s="1"/>
  <c r="M25"/>
  <c r="N25" s="1"/>
  <c r="P25" s="1"/>
  <c r="M9"/>
  <c r="N9" s="1"/>
  <c r="V323"/>
  <c r="W323" s="1"/>
  <c r="AA831"/>
  <c r="AB831" s="1"/>
  <c r="AC831" s="1"/>
  <c r="Y812"/>
  <c r="Z812" s="1"/>
  <c r="AB812" s="1"/>
  <c r="H725"/>
  <c r="J725" s="1"/>
  <c r="F725"/>
  <c r="H700"/>
  <c r="J700" s="1"/>
  <c r="F700"/>
  <c r="H625"/>
  <c r="J625" s="1"/>
  <c r="F625"/>
  <c r="H543"/>
  <c r="J543" s="1"/>
  <c r="F543"/>
  <c r="H522"/>
  <c r="L522" s="1"/>
  <c r="N522" s="1"/>
  <c r="Q522" s="1"/>
  <c r="T522" s="1"/>
  <c r="F522"/>
  <c r="H508"/>
  <c r="F508"/>
  <c r="AE488"/>
  <c r="AF488" s="1"/>
  <c r="H442"/>
  <c r="J442" s="1"/>
  <c r="F442"/>
  <c r="H426"/>
  <c r="L426" s="1"/>
  <c r="N426" s="1"/>
  <c r="Q426" s="1"/>
  <c r="T426" s="1"/>
  <c r="F426"/>
  <c r="H401"/>
  <c r="J401" s="1"/>
  <c r="F401"/>
  <c r="R375"/>
  <c r="I375"/>
  <c r="H375"/>
  <c r="L375" s="1"/>
  <c r="F375"/>
  <c r="H364"/>
  <c r="J364" s="1"/>
  <c r="F364"/>
  <c r="H339"/>
  <c r="J339" s="1"/>
  <c r="F339"/>
  <c r="T295"/>
  <c r="H274"/>
  <c r="F274"/>
  <c r="Y254"/>
  <c r="Z254" s="1"/>
  <c r="Y245"/>
  <c r="Z245" s="1"/>
  <c r="AB245" s="1"/>
  <c r="Y235"/>
  <c r="Z235" s="1"/>
  <c r="AB235" s="1"/>
  <c r="H218"/>
  <c r="F218"/>
  <c r="H199"/>
  <c r="F199"/>
  <c r="R167"/>
  <c r="H167"/>
  <c r="L167" s="1"/>
  <c r="F167"/>
  <c r="R135"/>
  <c r="H135"/>
  <c r="L135" s="1"/>
  <c r="M135" s="1"/>
  <c r="F135"/>
  <c r="H104"/>
  <c r="J104" s="1"/>
  <c r="F104"/>
  <c r="H88"/>
  <c r="L88" s="1"/>
  <c r="M88" s="1"/>
  <c r="F88"/>
  <c r="H62"/>
  <c r="J62" s="1"/>
  <c r="F62"/>
  <c r="H24"/>
  <c r="F24"/>
  <c r="AE857"/>
  <c r="AF857" s="1"/>
  <c r="AE834"/>
  <c r="AF834" s="1"/>
  <c r="AD811"/>
  <c r="AB811"/>
  <c r="AC811" s="1"/>
  <c r="AB786"/>
  <c r="AC786" s="1"/>
  <c r="AE786" s="1"/>
  <c r="Y778"/>
  <c r="Z778" s="1"/>
  <c r="AB778" s="1"/>
  <c r="AD754"/>
  <c r="AE754" s="1"/>
  <c r="AF754" s="1"/>
  <c r="H724"/>
  <c r="L724" s="1"/>
  <c r="N724" s="1"/>
  <c r="Q724" s="1"/>
  <c r="T724" s="1"/>
  <c r="F724"/>
  <c r="H699"/>
  <c r="L699" s="1"/>
  <c r="N699" s="1"/>
  <c r="Q699" s="1"/>
  <c r="T699" s="1"/>
  <c r="F699"/>
  <c r="AB691"/>
  <c r="AC691" s="1"/>
  <c r="AE691" s="1"/>
  <c r="AA624"/>
  <c r="H624"/>
  <c r="L624" s="1"/>
  <c r="N624" s="1"/>
  <c r="Q624" s="1"/>
  <c r="T624" s="1"/>
  <c r="F624"/>
  <c r="AA573"/>
  <c r="S573"/>
  <c r="T573" s="1"/>
  <c r="H582"/>
  <c r="L582" s="1"/>
  <c r="M582" s="1"/>
  <c r="F582"/>
  <c r="H542"/>
  <c r="L542" s="1"/>
  <c r="N542" s="1"/>
  <c r="Q542" s="1"/>
  <c r="T542" s="1"/>
  <c r="F542"/>
  <c r="H521"/>
  <c r="L521" s="1"/>
  <c r="N521" s="1"/>
  <c r="Q521" s="1"/>
  <c r="T521" s="1"/>
  <c r="F521"/>
  <c r="H507"/>
  <c r="L507" s="1"/>
  <c r="N507" s="1"/>
  <c r="Q507" s="1"/>
  <c r="T507" s="1"/>
  <c r="F507"/>
  <c r="AE487"/>
  <c r="AF487" s="1"/>
  <c r="H441"/>
  <c r="J441" s="1"/>
  <c r="F441"/>
  <c r="H425"/>
  <c r="J425" s="1"/>
  <c r="F425"/>
  <c r="H420"/>
  <c r="J420" s="1"/>
  <c r="F420"/>
  <c r="H400"/>
  <c r="L400" s="1"/>
  <c r="N400" s="1"/>
  <c r="Q400" s="1"/>
  <c r="T400" s="1"/>
  <c r="W400" s="1"/>
  <c r="F400"/>
  <c r="Y379"/>
  <c r="Z379" s="1"/>
  <c r="AB379" s="1"/>
  <c r="AE374"/>
  <c r="AF374" s="1"/>
  <c r="AE369"/>
  <c r="AF369" s="1"/>
  <c r="AE363"/>
  <c r="AF363" s="1"/>
  <c r="H338"/>
  <c r="L338" s="1"/>
  <c r="N338" s="1"/>
  <c r="Q338" s="1"/>
  <c r="T338" s="1"/>
  <c r="F338"/>
  <c r="AE294"/>
  <c r="AF294" s="1"/>
  <c r="AB273"/>
  <c r="AC273" s="1"/>
  <c r="AE273" s="1"/>
  <c r="Y244"/>
  <c r="Z244" s="1"/>
  <c r="AB244" s="1"/>
  <c r="Y234"/>
  <c r="Z234" s="1"/>
  <c r="AB234" s="1"/>
  <c r="Y217"/>
  <c r="Z217" s="1"/>
  <c r="AB217" s="1"/>
  <c r="Y198"/>
  <c r="Z198" s="1"/>
  <c r="AB198" s="1"/>
  <c r="H166"/>
  <c r="F166"/>
  <c r="M134"/>
  <c r="H134"/>
  <c r="L134" s="1"/>
  <c r="F134"/>
  <c r="H103"/>
  <c r="F103"/>
  <c r="AE87"/>
  <c r="AF87" s="1"/>
  <c r="H61"/>
  <c r="J61" s="1"/>
  <c r="F61"/>
  <c r="H38"/>
  <c r="F38"/>
  <c r="S23"/>
  <c r="T23" s="1"/>
  <c r="H8"/>
  <c r="J8" s="1"/>
  <c r="F8"/>
  <c r="H665"/>
  <c r="J665" s="1"/>
  <c r="F665"/>
  <c r="H541"/>
  <c r="J541" s="1"/>
  <c r="F541"/>
  <c r="H506"/>
  <c r="J506" s="1"/>
  <c r="F506"/>
  <c r="H484"/>
  <c r="J484" s="1"/>
  <c r="F484"/>
  <c r="H440"/>
  <c r="L440" s="1"/>
  <c r="N440" s="1"/>
  <c r="Q440" s="1"/>
  <c r="T440" s="1"/>
  <c r="F440"/>
  <c r="AA424"/>
  <c r="H424"/>
  <c r="J424" s="1"/>
  <c r="F424"/>
  <c r="H399"/>
  <c r="J399" s="1"/>
  <c r="F399"/>
  <c r="H373"/>
  <c r="J373" s="1"/>
  <c r="F373"/>
  <c r="H362"/>
  <c r="J362" s="1"/>
  <c r="F362"/>
  <c r="H337"/>
  <c r="J337" s="1"/>
  <c r="F337"/>
  <c r="T293"/>
  <c r="V293" s="1"/>
  <c r="H272"/>
  <c r="L272" s="1"/>
  <c r="N272" s="1"/>
  <c r="F272"/>
  <c r="Y197"/>
  <c r="Z197" s="1"/>
  <c r="H165"/>
  <c r="J165" s="1"/>
  <c r="F165"/>
  <c r="H133"/>
  <c r="J133" s="1"/>
  <c r="F133"/>
  <c r="H102"/>
  <c r="J102" s="1"/>
  <c r="F102"/>
  <c r="P86"/>
  <c r="Q86" s="1"/>
  <c r="S86" s="1"/>
  <c r="T86" s="1"/>
  <c r="H60"/>
  <c r="J60" s="1"/>
  <c r="F60"/>
  <c r="H22"/>
  <c r="L22" s="1"/>
  <c r="AB821"/>
  <c r="AC821" s="1"/>
  <c r="H540"/>
  <c r="F540"/>
  <c r="H505"/>
  <c r="F505"/>
  <c r="H398"/>
  <c r="F398"/>
  <c r="H378"/>
  <c r="F378"/>
  <c r="V361"/>
  <c r="W361" s="1"/>
  <c r="T336"/>
  <c r="U336" s="1"/>
  <c r="T292"/>
  <c r="V292" s="1"/>
  <c r="H271"/>
  <c r="J271" s="1"/>
  <c r="F271"/>
  <c r="H216"/>
  <c r="F216"/>
  <c r="H196"/>
  <c r="J196" s="1"/>
  <c r="F196"/>
  <c r="M164"/>
  <c r="H164"/>
  <c r="L164" s="1"/>
  <c r="F164"/>
  <c r="R132"/>
  <c r="H132"/>
  <c r="F132"/>
  <c r="H101"/>
  <c r="L101" s="1"/>
  <c r="N101" s="1"/>
  <c r="P101" s="1"/>
  <c r="F101"/>
  <c r="H85"/>
  <c r="J85" s="1"/>
  <c r="F85"/>
  <c r="W690"/>
  <c r="AD689"/>
  <c r="AB689"/>
  <c r="AC689" s="1"/>
  <c r="V689"/>
  <c r="W689" s="1"/>
  <c r="Y689" s="1"/>
  <c r="V688"/>
  <c r="W688" s="1"/>
  <c r="Y688" s="1"/>
  <c r="AD759"/>
  <c r="H759"/>
  <c r="J759" s="1"/>
  <c r="F759"/>
  <c r="R687"/>
  <c r="H687"/>
  <c r="L687" s="1"/>
  <c r="N687" s="1"/>
  <c r="F687"/>
  <c r="U686"/>
  <c r="I686"/>
  <c r="H686"/>
  <c r="E686"/>
  <c r="H654"/>
  <c r="F654"/>
  <c r="AD856"/>
  <c r="U856"/>
  <c r="V856" s="1"/>
  <c r="H372"/>
  <c r="F372"/>
  <c r="AE858"/>
  <c r="AF858" s="1"/>
  <c r="Y855"/>
  <c r="Z855" s="1"/>
  <c r="AB855" s="1"/>
  <c r="AE851"/>
  <c r="AF851" s="1"/>
  <c r="AB850"/>
  <c r="AC850" s="1"/>
  <c r="AE850" s="1"/>
  <c r="AE833"/>
  <c r="AF833" s="1"/>
  <c r="AB830"/>
  <c r="AC830" s="1"/>
  <c r="AE830" s="1"/>
  <c r="Y820"/>
  <c r="Z820" s="1"/>
  <c r="AB820" s="1"/>
  <c r="AD814"/>
  <c r="AE814" s="1"/>
  <c r="AF814" s="1"/>
  <c r="AA809"/>
  <c r="S809"/>
  <c r="T809" s="1"/>
  <c r="V809" s="1"/>
  <c r="X807"/>
  <c r="V807"/>
  <c r="W807" s="1"/>
  <c r="H723"/>
  <c r="L723" s="1"/>
  <c r="N723" s="1"/>
  <c r="Q723" s="1"/>
  <c r="T723" s="1"/>
  <c r="F723"/>
  <c r="H698"/>
  <c r="L698" s="1"/>
  <c r="N698" s="1"/>
  <c r="Q698" s="1"/>
  <c r="T698" s="1"/>
  <c r="F698"/>
  <c r="X664"/>
  <c r="H664"/>
  <c r="J664" s="1"/>
  <c r="F664"/>
  <c r="H539"/>
  <c r="J539" s="1"/>
  <c r="F539"/>
  <c r="H504"/>
  <c r="J504" s="1"/>
  <c r="F504"/>
  <c r="H468"/>
  <c r="J468" s="1"/>
  <c r="F468"/>
  <c r="H439"/>
  <c r="J439" s="1"/>
  <c r="F439"/>
  <c r="H423"/>
  <c r="F423"/>
  <c r="H397"/>
  <c r="F397"/>
  <c r="V377"/>
  <c r="W377" s="1"/>
  <c r="AB360"/>
  <c r="AC360" s="1"/>
  <c r="Y335"/>
  <c r="Z335" s="1"/>
  <c r="AB335" s="1"/>
  <c r="AC335" s="1"/>
  <c r="V291"/>
  <c r="W291" s="1"/>
  <c r="Y291" s="1"/>
  <c r="Z291" s="1"/>
  <c r="H243"/>
  <c r="L243" s="1"/>
  <c r="N243" s="1"/>
  <c r="F243"/>
  <c r="H233"/>
  <c r="F233"/>
  <c r="H270"/>
  <c r="J270" s="1"/>
  <c r="F270"/>
  <c r="M215"/>
  <c r="H215"/>
  <c r="L215" s="1"/>
  <c r="F215"/>
  <c r="H195"/>
  <c r="L195" s="1"/>
  <c r="F195"/>
  <c r="H163"/>
  <c r="L163" s="1"/>
  <c r="M163" s="1"/>
  <c r="F163"/>
  <c r="H131"/>
  <c r="L131" s="1"/>
  <c r="F131"/>
  <c r="H100"/>
  <c r="L100" s="1"/>
  <c r="M100" s="1"/>
  <c r="F100"/>
  <c r="H84"/>
  <c r="L84" s="1"/>
  <c r="F84"/>
  <c r="H59"/>
  <c r="J59" s="1"/>
  <c r="F59"/>
  <c r="H37"/>
  <c r="L37" s="1"/>
  <c r="F37"/>
  <c r="H21"/>
  <c r="J21" s="1"/>
  <c r="F21"/>
  <c r="H7"/>
  <c r="F7"/>
  <c r="H622"/>
  <c r="F622"/>
  <c r="H566"/>
  <c r="F566"/>
  <c r="H538"/>
  <c r="F538"/>
  <c r="H520"/>
  <c r="J520" s="1"/>
  <c r="F520"/>
  <c r="H503"/>
  <c r="L503" s="1"/>
  <c r="N503" s="1"/>
  <c r="Q503" s="1"/>
  <c r="T503" s="1"/>
  <c r="F503"/>
  <c r="H467"/>
  <c r="L467" s="1"/>
  <c r="N467" s="1"/>
  <c r="Q467" s="1"/>
  <c r="T467" s="1"/>
  <c r="F467"/>
  <c r="H438"/>
  <c r="L438" s="1"/>
  <c r="N438" s="1"/>
  <c r="Q438" s="1"/>
  <c r="T438" s="1"/>
  <c r="F438"/>
  <c r="Y422"/>
  <c r="Z422" s="1"/>
  <c r="H396"/>
  <c r="L396" s="1"/>
  <c r="F396"/>
  <c r="Q359"/>
  <c r="T359" s="1"/>
  <c r="U819"/>
  <c r="V819" s="1"/>
  <c r="W819" s="1"/>
  <c r="T621"/>
  <c r="V621" s="1"/>
  <c r="T537"/>
  <c r="V537" s="1"/>
  <c r="T502"/>
  <c r="U502" s="1"/>
  <c r="V502" s="1"/>
  <c r="T395"/>
  <c r="U395" s="1"/>
  <c r="V395" s="1"/>
  <c r="AA358"/>
  <c r="T334"/>
  <c r="V290"/>
  <c r="W290" s="1"/>
  <c r="Y290" s="1"/>
  <c r="AB269"/>
  <c r="AC269" s="1"/>
  <c r="AB253"/>
  <c r="AC253" s="1"/>
  <c r="AE253" s="1"/>
  <c r="AB242"/>
  <c r="AC242" s="1"/>
  <c r="AB232"/>
  <c r="AC232" s="1"/>
  <c r="AE232" s="1"/>
  <c r="S214"/>
  <c r="T214" s="1"/>
  <c r="S194"/>
  <c r="T194" s="1"/>
  <c r="S162"/>
  <c r="T162" s="1"/>
  <c r="S130"/>
  <c r="T130" s="1"/>
  <c r="V130" s="1"/>
  <c r="S99"/>
  <c r="T99" s="1"/>
  <c r="S83"/>
  <c r="T83" s="1"/>
  <c r="S58"/>
  <c r="AB829"/>
  <c r="AC829" s="1"/>
  <c r="X818"/>
  <c r="Y818" s="1"/>
  <c r="Z818" s="1"/>
  <c r="AB818" s="1"/>
  <c r="H721"/>
  <c r="J721" s="1"/>
  <c r="F721"/>
  <c r="H696"/>
  <c r="L696" s="1"/>
  <c r="N696" s="1"/>
  <c r="Q696" s="1"/>
  <c r="T696" s="1"/>
  <c r="U696" s="1"/>
  <c r="V696" s="1"/>
  <c r="F696"/>
  <c r="AB663"/>
  <c r="AC663" s="1"/>
  <c r="AE663" s="1"/>
  <c r="U661"/>
  <c r="H661"/>
  <c r="F661"/>
  <c r="N620"/>
  <c r="Q620" s="1"/>
  <c r="T620" s="1"/>
  <c r="U620" s="1"/>
  <c r="V620" s="1"/>
  <c r="H536"/>
  <c r="J536" s="1"/>
  <c r="F536"/>
  <c r="H519"/>
  <c r="J519" s="1"/>
  <c r="F519"/>
  <c r="H501"/>
  <c r="J501" s="1"/>
  <c r="F501"/>
  <c r="AE486"/>
  <c r="AF486" s="1"/>
  <c r="H466"/>
  <c r="J466" s="1"/>
  <c r="F466"/>
  <c r="H437"/>
  <c r="F437"/>
  <c r="H421"/>
  <c r="F421"/>
  <c r="H394"/>
  <c r="F394"/>
  <c r="AA357"/>
  <c r="X357"/>
  <c r="H357"/>
  <c r="L357" s="1"/>
  <c r="N357" s="1"/>
  <c r="Q357" s="1"/>
  <c r="T357" s="1"/>
  <c r="F357"/>
  <c r="H333"/>
  <c r="F333"/>
  <c r="V289"/>
  <c r="W289" s="1"/>
  <c r="H268"/>
  <c r="L268" s="1"/>
  <c r="N268" s="1"/>
  <c r="F268"/>
  <c r="P252"/>
  <c r="Q252" s="1"/>
  <c r="H161"/>
  <c r="J161" s="1"/>
  <c r="F161"/>
  <c r="H129"/>
  <c r="L129" s="1"/>
  <c r="M129" s="1"/>
  <c r="F129"/>
  <c r="H98"/>
  <c r="J98" s="1"/>
  <c r="F98"/>
  <c r="V82"/>
  <c r="W82" s="1"/>
  <c r="H57"/>
  <c r="F57"/>
  <c r="H36"/>
  <c r="J36" s="1"/>
  <c r="F36"/>
  <c r="H20"/>
  <c r="F20"/>
  <c r="H6"/>
  <c r="L6" s="1"/>
  <c r="N6" s="1"/>
  <c r="F6"/>
  <c r="N619"/>
  <c r="Q619" s="1"/>
  <c r="T619" s="1"/>
  <c r="H619"/>
  <c r="J619" s="1"/>
  <c r="F619"/>
  <c r="Q758"/>
  <c r="S758" s="1"/>
  <c r="H722"/>
  <c r="L722" s="1"/>
  <c r="N722" s="1"/>
  <c r="Q722" s="1"/>
  <c r="T722" s="1"/>
  <c r="U722" s="1"/>
  <c r="V722" s="1"/>
  <c r="F722"/>
  <c r="H697"/>
  <c r="L697" s="1"/>
  <c r="N697" s="1"/>
  <c r="Q697" s="1"/>
  <c r="T697" s="1"/>
  <c r="U697" s="1"/>
  <c r="V697" s="1"/>
  <c r="F697"/>
  <c r="AD662"/>
  <c r="AE662" s="1"/>
  <c r="AF662" s="1"/>
  <c r="H618"/>
  <c r="J618" s="1"/>
  <c r="F618"/>
  <c r="H561"/>
  <c r="L561" s="1"/>
  <c r="N561" s="1"/>
  <c r="Q561" s="1"/>
  <c r="T561" s="1"/>
  <c r="U561" s="1"/>
  <c r="V561" s="1"/>
  <c r="F561"/>
  <c r="H535"/>
  <c r="L535" s="1"/>
  <c r="N535" s="1"/>
  <c r="Q535" s="1"/>
  <c r="T535" s="1"/>
  <c r="U535" s="1"/>
  <c r="V535" s="1"/>
  <c r="F535"/>
  <c r="H500"/>
  <c r="L500" s="1"/>
  <c r="N500" s="1"/>
  <c r="Q500" s="1"/>
  <c r="T500" s="1"/>
  <c r="F500"/>
  <c r="H465"/>
  <c r="F465"/>
  <c r="AE485"/>
  <c r="AF485" s="1"/>
  <c r="H436"/>
  <c r="J436" s="1"/>
  <c r="F436"/>
  <c r="H393"/>
  <c r="J393" s="1"/>
  <c r="F393"/>
  <c r="H332"/>
  <c r="J332" s="1"/>
  <c r="F332"/>
  <c r="V288"/>
  <c r="W288" s="1"/>
  <c r="H267"/>
  <c r="J267" s="1"/>
  <c r="F267"/>
  <c r="AE251"/>
  <c r="AF251" s="1"/>
  <c r="H241"/>
  <c r="L241" s="1"/>
  <c r="N241" s="1"/>
  <c r="F241"/>
  <c r="H231"/>
  <c r="J231" s="1"/>
  <c r="F231"/>
  <c r="H213"/>
  <c r="L213" s="1"/>
  <c r="F213"/>
  <c r="H193"/>
  <c r="J193" s="1"/>
  <c r="F193"/>
  <c r="H160"/>
  <c r="J160" s="1"/>
  <c r="F160"/>
  <c r="H128"/>
  <c r="J128" s="1"/>
  <c r="F128"/>
  <c r="H97"/>
  <c r="J97" s="1"/>
  <c r="F97"/>
  <c r="H81"/>
  <c r="J81" s="1"/>
  <c r="F81"/>
  <c r="H56"/>
  <c r="J56" s="1"/>
  <c r="F56"/>
  <c r="H35"/>
  <c r="L35" s="1"/>
  <c r="N35" s="1"/>
  <c r="F35"/>
  <c r="H5"/>
  <c r="F5"/>
  <c r="H863"/>
  <c r="J863" s="1"/>
  <c r="F863"/>
  <c r="H747"/>
  <c r="L747" s="1"/>
  <c r="N747" s="1"/>
  <c r="Q747" s="1"/>
  <c r="T747" s="1"/>
  <c r="F747"/>
  <c r="H746"/>
  <c r="J746" s="1"/>
  <c r="F746"/>
  <c r="AD369" i="3"/>
  <c r="AD616"/>
  <c r="AD143"/>
  <c r="AD141"/>
  <c r="AD457"/>
  <c r="AE884"/>
  <c r="AF884" s="1"/>
  <c r="AE818"/>
  <c r="AF818" s="1"/>
  <c r="AD409"/>
  <c r="AE376"/>
  <c r="AF376" s="1"/>
  <c r="AE196"/>
  <c r="AF196" s="1"/>
  <c r="AE187"/>
  <c r="AF187" s="1"/>
  <c r="AE17"/>
  <c r="AF17" s="1"/>
  <c r="AE629"/>
  <c r="AF629" s="1"/>
  <c r="AE673"/>
  <c r="AF673" s="1"/>
  <c r="AE199"/>
  <c r="AF199" s="1"/>
  <c r="AD889"/>
  <c r="AD29"/>
  <c r="AE29" s="1"/>
  <c r="AF29" s="1"/>
  <c r="J585" i="4" l="1"/>
  <c r="N164"/>
  <c r="P164" s="1"/>
  <c r="Q164" s="1"/>
  <c r="J783"/>
  <c r="J463"/>
  <c r="AD852"/>
  <c r="N134"/>
  <c r="P134" s="1"/>
  <c r="Q134" s="1"/>
  <c r="J121"/>
  <c r="L744"/>
  <c r="N744" s="1"/>
  <c r="Q744" s="1"/>
  <c r="T744" s="1"/>
  <c r="J405"/>
  <c r="J265"/>
  <c r="J686"/>
  <c r="L190"/>
  <c r="N190" s="1"/>
  <c r="J722"/>
  <c r="J357"/>
  <c r="L127"/>
  <c r="M127" s="1"/>
  <c r="J4"/>
  <c r="J680"/>
  <c r="L34"/>
  <c r="N34" s="1"/>
  <c r="L230"/>
  <c r="M230" s="1"/>
  <c r="J561"/>
  <c r="L520"/>
  <c r="N520" s="1"/>
  <c r="Q520" s="1"/>
  <c r="T520" s="1"/>
  <c r="V520" s="1"/>
  <c r="W520" s="1"/>
  <c r="Y520" s="1"/>
  <c r="Z520" s="1"/>
  <c r="J346"/>
  <c r="J75"/>
  <c r="L392"/>
  <c r="N392" s="1"/>
  <c r="Q392" s="1"/>
  <c r="T392" s="1"/>
  <c r="L746"/>
  <c r="N746" s="1"/>
  <c r="N215"/>
  <c r="P215" s="1"/>
  <c r="Q215" s="1"/>
  <c r="L270"/>
  <c r="N270" s="1"/>
  <c r="P270" s="1"/>
  <c r="Q270" s="1"/>
  <c r="S270" s="1"/>
  <c r="T270" s="1"/>
  <c r="L447"/>
  <c r="N447" s="1"/>
  <c r="Q447" s="1"/>
  <c r="T447" s="1"/>
  <c r="J587"/>
  <c r="L174"/>
  <c r="M174" s="1"/>
  <c r="N174" s="1"/>
  <c r="J709"/>
  <c r="L477"/>
  <c r="N477" s="1"/>
  <c r="Q477" s="1"/>
  <c r="T477" s="1"/>
  <c r="AE848"/>
  <c r="AF848" s="1"/>
  <c r="J266"/>
  <c r="L598"/>
  <c r="N598" s="1"/>
  <c r="Q598" s="1"/>
  <c r="T598" s="1"/>
  <c r="J188"/>
  <c r="L160"/>
  <c r="M160" s="1"/>
  <c r="L59"/>
  <c r="M59" s="1"/>
  <c r="L337"/>
  <c r="N337" s="1"/>
  <c r="Q337" s="1"/>
  <c r="T337" s="1"/>
  <c r="U337" s="1"/>
  <c r="L104"/>
  <c r="M104" s="1"/>
  <c r="L429"/>
  <c r="N429" s="1"/>
  <c r="Q429" s="1"/>
  <c r="T429" s="1"/>
  <c r="U429" s="1"/>
  <c r="V429" s="1"/>
  <c r="W429" s="1"/>
  <c r="L140"/>
  <c r="M140" s="1"/>
  <c r="J817"/>
  <c r="J51"/>
  <c r="J314"/>
  <c r="N599"/>
  <c r="Q599" s="1"/>
  <c r="T599" s="1"/>
  <c r="W599" s="1"/>
  <c r="Y599" s="1"/>
  <c r="Z599" s="1"/>
  <c r="AB599" s="1"/>
  <c r="L653"/>
  <c r="N653" s="1"/>
  <c r="Q653" s="1"/>
  <c r="T653" s="1"/>
  <c r="J131"/>
  <c r="Z688"/>
  <c r="AB688" s="1"/>
  <c r="AC688" s="1"/>
  <c r="J724"/>
  <c r="L339"/>
  <c r="N339" s="1"/>
  <c r="Q339" s="1"/>
  <c r="T339" s="1"/>
  <c r="L543"/>
  <c r="N543" s="1"/>
  <c r="Q543" s="1"/>
  <c r="T543" s="1"/>
  <c r="V543" s="1"/>
  <c r="AC201"/>
  <c r="AE201" s="1"/>
  <c r="AF201" s="1"/>
  <c r="L409"/>
  <c r="N409" s="1"/>
  <c r="Q409" s="1"/>
  <c r="T409" s="1"/>
  <c r="U409" s="1"/>
  <c r="V409" s="1"/>
  <c r="L553"/>
  <c r="N553" s="1"/>
  <c r="Q553" s="1"/>
  <c r="T553" s="1"/>
  <c r="L456"/>
  <c r="N456" s="1"/>
  <c r="Q456" s="1"/>
  <c r="T456" s="1"/>
  <c r="J565"/>
  <c r="J765"/>
  <c r="L185"/>
  <c r="M185" s="1"/>
  <c r="J192"/>
  <c r="J597"/>
  <c r="J396"/>
  <c r="J438"/>
  <c r="J624"/>
  <c r="J384"/>
  <c r="J576"/>
  <c r="J729"/>
  <c r="L562"/>
  <c r="N562" s="1"/>
  <c r="Q562" s="1"/>
  <c r="T562" s="1"/>
  <c r="J659"/>
  <c r="L608"/>
  <c r="N608" s="1"/>
  <c r="Q608" s="1"/>
  <c r="T608" s="1"/>
  <c r="U608" s="1"/>
  <c r="V608" s="1"/>
  <c r="W608" s="1"/>
  <c r="J706"/>
  <c r="J674"/>
  <c r="AB136" i="3"/>
  <c r="AC136" s="1"/>
  <c r="AE12" i="4"/>
  <c r="AF12" s="1"/>
  <c r="L161"/>
  <c r="M161" s="1"/>
  <c r="J696"/>
  <c r="W621"/>
  <c r="Y621" s="1"/>
  <c r="Z621" s="1"/>
  <c r="J503"/>
  <c r="J37"/>
  <c r="L541"/>
  <c r="N541" s="1"/>
  <c r="Q541" s="1"/>
  <c r="T541" s="1"/>
  <c r="J134"/>
  <c r="L425"/>
  <c r="N425" s="1"/>
  <c r="Q425" s="1"/>
  <c r="T425" s="1"/>
  <c r="U425" s="1"/>
  <c r="V425" s="1"/>
  <c r="J542"/>
  <c r="J341"/>
  <c r="J470"/>
  <c r="L669"/>
  <c r="M669" s="1"/>
  <c r="N669" s="1"/>
  <c r="Q669" s="1"/>
  <c r="T669" s="1"/>
  <c r="L238"/>
  <c r="M238" s="1"/>
  <c r="N238" s="1"/>
  <c r="J704"/>
  <c r="L67"/>
  <c r="N67" s="1"/>
  <c r="P67" s="1"/>
  <c r="J204"/>
  <c r="J577"/>
  <c r="L752"/>
  <c r="J386"/>
  <c r="T633"/>
  <c r="U633" s="1"/>
  <c r="V633" s="1"/>
  <c r="L387"/>
  <c r="N387" s="1"/>
  <c r="Q387" s="1"/>
  <c r="L475"/>
  <c r="N475" s="1"/>
  <c r="Q475" s="1"/>
  <c r="T475" s="1"/>
  <c r="U475" s="1"/>
  <c r="V475" s="1"/>
  <c r="J513"/>
  <c r="J734"/>
  <c r="L735"/>
  <c r="N735" s="1"/>
  <c r="Q735" s="1"/>
  <c r="T735" s="1"/>
  <c r="V735" s="1"/>
  <c r="J564"/>
  <c r="L574"/>
  <c r="N574" s="1"/>
  <c r="Q574" s="1"/>
  <c r="L643"/>
  <c r="N643" s="1"/>
  <c r="P643" s="1"/>
  <c r="Q643" s="1"/>
  <c r="J738"/>
  <c r="J861"/>
  <c r="J126"/>
  <c r="V356"/>
  <c r="W356" s="1"/>
  <c r="Y356" s="1"/>
  <c r="Z356" s="1"/>
  <c r="J720"/>
  <c r="L56"/>
  <c r="M56" s="1"/>
  <c r="L231"/>
  <c r="N231" s="1"/>
  <c r="P231" s="1"/>
  <c r="Q231" s="1"/>
  <c r="J697"/>
  <c r="J440"/>
  <c r="L441"/>
  <c r="N441" s="1"/>
  <c r="Q441" s="1"/>
  <c r="T441" s="1"/>
  <c r="J135"/>
  <c r="J426"/>
  <c r="J522"/>
  <c r="L859"/>
  <c r="N859" s="1"/>
  <c r="J547"/>
  <c r="J797"/>
  <c r="E712"/>
  <c r="J694"/>
  <c r="J599"/>
  <c r="L78"/>
  <c r="N78" s="1"/>
  <c r="P78" s="1"/>
  <c r="Q78" s="1"/>
  <c r="W537"/>
  <c r="Y537" s="1"/>
  <c r="J84"/>
  <c r="J698"/>
  <c r="AF850"/>
  <c r="L686"/>
  <c r="N686" s="1"/>
  <c r="P686" s="1"/>
  <c r="L484"/>
  <c r="N484" s="1"/>
  <c r="Q484" s="1"/>
  <c r="T484" s="1"/>
  <c r="L604"/>
  <c r="N604" s="1"/>
  <c r="Q604" s="1"/>
  <c r="N172"/>
  <c r="P172" s="1"/>
  <c r="Q172" s="1"/>
  <c r="W300"/>
  <c r="Y300" s="1"/>
  <c r="L548"/>
  <c r="N548" s="1"/>
  <c r="Q548" s="1"/>
  <c r="T548" s="1"/>
  <c r="J143"/>
  <c r="J675"/>
  <c r="J454"/>
  <c r="J208"/>
  <c r="L367"/>
  <c r="N367" s="1"/>
  <c r="Q367" s="1"/>
  <c r="T367" s="1"/>
  <c r="U367" s="1"/>
  <c r="V367" s="1"/>
  <c r="W367" s="1"/>
  <c r="L430"/>
  <c r="N430" s="1"/>
  <c r="Q430" s="1"/>
  <c r="T430" s="1"/>
  <c r="U430" s="1"/>
  <c r="V430" s="1"/>
  <c r="W430" s="1"/>
  <c r="L479"/>
  <c r="N479" s="1"/>
  <c r="Q479" s="1"/>
  <c r="T479" s="1"/>
  <c r="J554"/>
  <c r="Q52"/>
  <c r="S52" s="1"/>
  <c r="AD804"/>
  <c r="L267"/>
  <c r="N267" s="1"/>
  <c r="P267" s="1"/>
  <c r="Q267" s="1"/>
  <c r="L332"/>
  <c r="N332" s="1"/>
  <c r="Q332" s="1"/>
  <c r="T332" s="1"/>
  <c r="J535"/>
  <c r="L36"/>
  <c r="M36" s="1"/>
  <c r="N36" s="1"/>
  <c r="J129"/>
  <c r="J164"/>
  <c r="L362"/>
  <c r="N362" s="1"/>
  <c r="Q362" s="1"/>
  <c r="T362" s="1"/>
  <c r="V362" s="1"/>
  <c r="W362" s="1"/>
  <c r="L506"/>
  <c r="N506" s="1"/>
  <c r="Q506" s="1"/>
  <c r="T506" s="1"/>
  <c r="U506" s="1"/>
  <c r="V506" s="1"/>
  <c r="W506" s="1"/>
  <c r="L8"/>
  <c r="N8" s="1"/>
  <c r="J521"/>
  <c r="AC235"/>
  <c r="AE235" s="1"/>
  <c r="L364"/>
  <c r="N364" s="1"/>
  <c r="Q364" s="1"/>
  <c r="T364" s="1"/>
  <c r="U364" s="1"/>
  <c r="V364" s="1"/>
  <c r="J375"/>
  <c r="L625"/>
  <c r="N625" s="1"/>
  <c r="Q625" s="1"/>
  <c r="T625" s="1"/>
  <c r="U625" s="1"/>
  <c r="V625" s="1"/>
  <c r="Q137"/>
  <c r="S137" s="1"/>
  <c r="T137" s="1"/>
  <c r="J668"/>
  <c r="J445"/>
  <c r="J627"/>
  <c r="J110"/>
  <c r="J68"/>
  <c r="T612"/>
  <c r="U612" s="1"/>
  <c r="V612" s="1"/>
  <c r="J736"/>
  <c r="J209"/>
  <c r="J354"/>
  <c r="J460"/>
  <c r="J569"/>
  <c r="J740"/>
  <c r="J860"/>
  <c r="S252"/>
  <c r="T252" s="1"/>
  <c r="V252" s="1"/>
  <c r="W252" s="1"/>
  <c r="M195"/>
  <c r="N195" s="1"/>
  <c r="J199"/>
  <c r="L199"/>
  <c r="M199" s="1"/>
  <c r="P277"/>
  <c r="Q277" s="1"/>
  <c r="S277" s="1"/>
  <c r="T277" s="1"/>
  <c r="P68"/>
  <c r="Q68" s="1"/>
  <c r="S68" s="1"/>
  <c r="T68" s="1"/>
  <c r="U733"/>
  <c r="V733" s="1"/>
  <c r="W733" s="1"/>
  <c r="N860"/>
  <c r="Q860" s="1"/>
  <c r="T860" s="1"/>
  <c r="U860" s="1"/>
  <c r="U716"/>
  <c r="V716" s="1"/>
  <c r="W716" s="1"/>
  <c r="L466"/>
  <c r="N466" s="1"/>
  <c r="Q466" s="1"/>
  <c r="T466" s="1"/>
  <c r="U466" s="1"/>
  <c r="V466" s="1"/>
  <c r="W466" s="1"/>
  <c r="L721"/>
  <c r="N721" s="1"/>
  <c r="Q721" s="1"/>
  <c r="T721" s="1"/>
  <c r="U721" s="1"/>
  <c r="V721" s="1"/>
  <c r="J213"/>
  <c r="W620"/>
  <c r="Y620" s="1"/>
  <c r="Z620" s="1"/>
  <c r="W395"/>
  <c r="Y395" s="1"/>
  <c r="Z395" s="1"/>
  <c r="J467"/>
  <c r="L21"/>
  <c r="N21" s="1"/>
  <c r="P21" s="1"/>
  <c r="Q21" s="1"/>
  <c r="J163"/>
  <c r="J195"/>
  <c r="J723"/>
  <c r="Y807"/>
  <c r="Z807" s="1"/>
  <c r="AB807" s="1"/>
  <c r="AC807" s="1"/>
  <c r="AC820"/>
  <c r="AE820" s="1"/>
  <c r="J101"/>
  <c r="J22"/>
  <c r="V23"/>
  <c r="W23" s="1"/>
  <c r="Y23" s="1"/>
  <c r="Z23" s="1"/>
  <c r="L62"/>
  <c r="M62" s="1"/>
  <c r="N88"/>
  <c r="P88" s="1"/>
  <c r="N135"/>
  <c r="P135" s="1"/>
  <c r="J167"/>
  <c r="AE309"/>
  <c r="AF309" s="1"/>
  <c r="AE642"/>
  <c r="AF642" s="1"/>
  <c r="L436"/>
  <c r="N436" s="1"/>
  <c r="Q436" s="1"/>
  <c r="T436" s="1"/>
  <c r="U436" s="1"/>
  <c r="V436" s="1"/>
  <c r="L618"/>
  <c r="N618" s="1"/>
  <c r="Q618" s="1"/>
  <c r="T618" s="1"/>
  <c r="U618" s="1"/>
  <c r="V618" s="1"/>
  <c r="W618" s="1"/>
  <c r="W293"/>
  <c r="Y293" s="1"/>
  <c r="Z293" s="1"/>
  <c r="U380"/>
  <c r="V380" s="1"/>
  <c r="W380" s="1"/>
  <c r="AE737"/>
  <c r="AF737" s="1"/>
  <c r="AE846"/>
  <c r="AF846" s="1"/>
  <c r="L393"/>
  <c r="N393" s="1"/>
  <c r="Q393" s="1"/>
  <c r="T393" s="1"/>
  <c r="U393" s="1"/>
  <c r="V393" s="1"/>
  <c r="W393" s="1"/>
  <c r="J747"/>
  <c r="L97"/>
  <c r="M97" s="1"/>
  <c r="J241"/>
  <c r="J500"/>
  <c r="J6"/>
  <c r="J268"/>
  <c r="J100"/>
  <c r="J215"/>
  <c r="J243"/>
  <c r="J272"/>
  <c r="L665"/>
  <c r="N665" s="1"/>
  <c r="Q665" s="1"/>
  <c r="T665" s="1"/>
  <c r="U665" s="1"/>
  <c r="V665" s="1"/>
  <c r="W665" s="1"/>
  <c r="L61"/>
  <c r="N61" s="1"/>
  <c r="P61" s="1"/>
  <c r="Q61" s="1"/>
  <c r="L420"/>
  <c r="N420" s="1"/>
  <c r="Q420" s="1"/>
  <c r="T420" s="1"/>
  <c r="AE531"/>
  <c r="AF531" s="1"/>
  <c r="V659"/>
  <c r="W659" s="1"/>
  <c r="AE118"/>
  <c r="AF118" s="1"/>
  <c r="AE840"/>
  <c r="AF840" s="1"/>
  <c r="W502"/>
  <c r="L442"/>
  <c r="N442" s="1"/>
  <c r="Q442" s="1"/>
  <c r="T442" s="1"/>
  <c r="U442" s="1"/>
  <c r="V442" s="1"/>
  <c r="W442" s="1"/>
  <c r="L700"/>
  <c r="N700" s="1"/>
  <c r="Q700" s="1"/>
  <c r="T700" s="1"/>
  <c r="U700" s="1"/>
  <c r="V700" s="1"/>
  <c r="W700" s="1"/>
  <c r="L725"/>
  <c r="N725" s="1"/>
  <c r="Q725" s="1"/>
  <c r="T725" s="1"/>
  <c r="U725" s="1"/>
  <c r="V725" s="1"/>
  <c r="Q105"/>
  <c r="S105" s="1"/>
  <c r="T105" s="1"/>
  <c r="Q219"/>
  <c r="S219" s="1"/>
  <c r="T219" s="1"/>
  <c r="V296"/>
  <c r="W296" s="1"/>
  <c r="Y296" s="1"/>
  <c r="Z296" s="1"/>
  <c r="W340"/>
  <c r="AF489"/>
  <c r="Q64"/>
  <c r="S64" s="1"/>
  <c r="J65"/>
  <c r="L28"/>
  <c r="AB824"/>
  <c r="AC824" s="1"/>
  <c r="AE824" s="1"/>
  <c r="AF824" s="1"/>
  <c r="AB825"/>
  <c r="AC825" s="1"/>
  <c r="AE825" s="1"/>
  <c r="AF825" s="1"/>
  <c r="M177"/>
  <c r="N177" s="1"/>
  <c r="P177" s="1"/>
  <c r="Q177" s="1"/>
  <c r="AB260"/>
  <c r="AC260" s="1"/>
  <c r="AE260" s="1"/>
  <c r="AF260" s="1"/>
  <c r="L636"/>
  <c r="N636" s="1"/>
  <c r="Q636" s="1"/>
  <c r="T636" s="1"/>
  <c r="L795"/>
  <c r="M795" s="1"/>
  <c r="J800"/>
  <c r="L71"/>
  <c r="N71" s="1"/>
  <c r="J95"/>
  <c r="L249"/>
  <c r="N249" s="1"/>
  <c r="P249" s="1"/>
  <c r="Q249" s="1"/>
  <c r="L760"/>
  <c r="N760" s="1"/>
  <c r="Q760" s="1"/>
  <c r="T760" s="1"/>
  <c r="U760" s="1"/>
  <c r="V760" s="1"/>
  <c r="L790"/>
  <c r="AF796"/>
  <c r="AF801"/>
  <c r="AF827"/>
  <c r="L117"/>
  <c r="L285"/>
  <c r="N285" s="1"/>
  <c r="J413"/>
  <c r="J455"/>
  <c r="AF149"/>
  <c r="J737"/>
  <c r="J150"/>
  <c r="J250"/>
  <c r="J644"/>
  <c r="J713"/>
  <c r="J719"/>
  <c r="J321"/>
  <c r="Q33"/>
  <c r="S33" s="1"/>
  <c r="Q54"/>
  <c r="S54" s="1"/>
  <c r="T54" s="1"/>
  <c r="L79"/>
  <c r="N79" s="1"/>
  <c r="J558"/>
  <c r="L718"/>
  <c r="N718" s="1"/>
  <c r="Q718" s="1"/>
  <c r="T718" s="1"/>
  <c r="J55"/>
  <c r="L191"/>
  <c r="M191" s="1"/>
  <c r="J464"/>
  <c r="L401"/>
  <c r="N401" s="1"/>
  <c r="Q401" s="1"/>
  <c r="T401" s="1"/>
  <c r="L603"/>
  <c r="N603" s="1"/>
  <c r="Q603" s="1"/>
  <c r="T603" s="1"/>
  <c r="U603" s="1"/>
  <c r="V603" s="1"/>
  <c r="Q90"/>
  <c r="S90" s="1"/>
  <c r="T90" s="1"/>
  <c r="L108"/>
  <c r="L343"/>
  <c r="N343" s="1"/>
  <c r="Q343" s="1"/>
  <c r="T343" s="1"/>
  <c r="N109"/>
  <c r="P109" s="1"/>
  <c r="J172"/>
  <c r="L606"/>
  <c r="N606" s="1"/>
  <c r="Q606" s="1"/>
  <c r="T606" s="1"/>
  <c r="U606" s="1"/>
  <c r="V606" s="1"/>
  <c r="W606" s="1"/>
  <c r="L631"/>
  <c r="N631" s="1"/>
  <c r="Q631" s="1"/>
  <c r="T631" s="1"/>
  <c r="U631" s="1"/>
  <c r="V631" s="1"/>
  <c r="L44"/>
  <c r="N44" s="1"/>
  <c r="P44" s="1"/>
  <c r="Q44" s="1"/>
  <c r="L449"/>
  <c r="N449" s="1"/>
  <c r="Q449" s="1"/>
  <c r="T449" s="1"/>
  <c r="U449" s="1"/>
  <c r="V449" s="1"/>
  <c r="W449" s="1"/>
  <c r="L473"/>
  <c r="N473" s="1"/>
  <c r="Q473" s="1"/>
  <c r="T473" s="1"/>
  <c r="L512"/>
  <c r="N512" s="1"/>
  <c r="Q512" s="1"/>
  <c r="T512" s="1"/>
  <c r="L205"/>
  <c r="M205" s="1"/>
  <c r="J224"/>
  <c r="L280"/>
  <c r="N280" s="1"/>
  <c r="W302"/>
  <c r="Y302" s="1"/>
  <c r="J450"/>
  <c r="L673"/>
  <c r="N673" s="1"/>
  <c r="Q673" s="1"/>
  <c r="T673" s="1"/>
  <c r="U673" s="1"/>
  <c r="V673" s="1"/>
  <c r="L175"/>
  <c r="M175" s="1"/>
  <c r="L281"/>
  <c r="N281" s="1"/>
  <c r="L451"/>
  <c r="N451" s="1"/>
  <c r="Q451" s="1"/>
  <c r="T451" s="1"/>
  <c r="U451" s="1"/>
  <c r="V451" s="1"/>
  <c r="W451" s="1"/>
  <c r="L550"/>
  <c r="N550" s="1"/>
  <c r="Q550" s="1"/>
  <c r="T550" s="1"/>
  <c r="U550" s="1"/>
  <c r="V550" s="1"/>
  <c r="L14"/>
  <c r="N14" s="1"/>
  <c r="L146"/>
  <c r="L178"/>
  <c r="M178" s="1"/>
  <c r="L225"/>
  <c r="J710"/>
  <c r="Z854"/>
  <c r="J612"/>
  <c r="L657"/>
  <c r="N657" s="1"/>
  <c r="Q657" s="1"/>
  <c r="T657" s="1"/>
  <c r="L227"/>
  <c r="M227" s="1"/>
  <c r="N227" s="1"/>
  <c r="L497"/>
  <c r="N497" s="1"/>
  <c r="Q497" s="1"/>
  <c r="T497" s="1"/>
  <c r="V497" s="1"/>
  <c r="W497" s="1"/>
  <c r="L560"/>
  <c r="N560" s="1"/>
  <c r="Q560" s="1"/>
  <c r="T560" s="1"/>
  <c r="Q77"/>
  <c r="Q155"/>
  <c r="S155" s="1"/>
  <c r="Q263"/>
  <c r="S263" s="1"/>
  <c r="Q17"/>
  <c r="S17" s="1"/>
  <c r="T17" s="1"/>
  <c r="W572"/>
  <c r="AC812"/>
  <c r="AE812" s="1"/>
  <c r="AF812" s="1"/>
  <c r="L327"/>
  <c r="N327" s="1"/>
  <c r="Q327" s="1"/>
  <c r="Q221"/>
  <c r="S221" s="1"/>
  <c r="L203"/>
  <c r="L328"/>
  <c r="N328" s="1"/>
  <c r="Q328" s="1"/>
  <c r="S328" s="1"/>
  <c r="T328" s="1"/>
  <c r="J630"/>
  <c r="J656"/>
  <c r="T257"/>
  <c r="L278"/>
  <c r="N278" s="1"/>
  <c r="P278" s="1"/>
  <c r="Q278" s="1"/>
  <c r="Z344"/>
  <c r="AB344" s="1"/>
  <c r="AC344" s="1"/>
  <c r="L385"/>
  <c r="N385" s="1"/>
  <c r="Q385" s="1"/>
  <c r="T385" s="1"/>
  <c r="U385" s="1"/>
  <c r="L407"/>
  <c r="N407" s="1"/>
  <c r="Q407" s="1"/>
  <c r="T407" s="1"/>
  <c r="L705"/>
  <c r="N705" s="1"/>
  <c r="Q705" s="1"/>
  <c r="T705" s="1"/>
  <c r="U705" s="1"/>
  <c r="V705" s="1"/>
  <c r="W705" s="1"/>
  <c r="L730"/>
  <c r="N730" s="1"/>
  <c r="Q730" s="1"/>
  <c r="T730" s="1"/>
  <c r="U730" s="1"/>
  <c r="V730" s="1"/>
  <c r="J93"/>
  <c r="L111"/>
  <c r="M111" s="1"/>
  <c r="J345"/>
  <c r="L563"/>
  <c r="N563" s="1"/>
  <c r="Q563" s="1"/>
  <c r="T563" s="1"/>
  <c r="U563" s="1"/>
  <c r="V563" s="1"/>
  <c r="W563" s="1"/>
  <c r="L588"/>
  <c r="N588" s="1"/>
  <c r="Q588" s="1"/>
  <c r="T588" s="1"/>
  <c r="U588" s="1"/>
  <c r="V588" s="1"/>
  <c r="J589"/>
  <c r="W674"/>
  <c r="Y674" s="1"/>
  <c r="Z674" s="1"/>
  <c r="AB674" s="1"/>
  <c r="W732"/>
  <c r="L637"/>
  <c r="N637" s="1"/>
  <c r="Q637" s="1"/>
  <c r="T637" s="1"/>
  <c r="U637" s="1"/>
  <c r="V637" s="1"/>
  <c r="L772"/>
  <c r="N772" s="1"/>
  <c r="Q772" s="1"/>
  <c r="T772" s="1"/>
  <c r="U772" s="1"/>
  <c r="V772" s="1"/>
  <c r="W772" s="1"/>
  <c r="L31"/>
  <c r="N31" s="1"/>
  <c r="L180"/>
  <c r="M180" s="1"/>
  <c r="N180" s="1"/>
  <c r="L391"/>
  <c r="N391" s="1"/>
  <c r="Q391" s="1"/>
  <c r="T391" s="1"/>
  <c r="U391" s="1"/>
  <c r="V391" s="1"/>
  <c r="L478"/>
  <c r="N478" s="1"/>
  <c r="Q478" s="1"/>
  <c r="T478" s="1"/>
  <c r="U478" s="1"/>
  <c r="V478" s="1"/>
  <c r="W478" s="1"/>
  <c r="L526"/>
  <c r="N526" s="1"/>
  <c r="Q526" s="1"/>
  <c r="T526" s="1"/>
  <c r="U526" s="1"/>
  <c r="V526" s="1"/>
  <c r="L751"/>
  <c r="N751" s="1"/>
  <c r="Q751" s="1"/>
  <c r="T751" s="1"/>
  <c r="L678"/>
  <c r="N678" s="1"/>
  <c r="Q678" s="1"/>
  <c r="T678" s="1"/>
  <c r="V678" s="1"/>
  <c r="J515"/>
  <c r="J527"/>
  <c r="J784"/>
  <c r="J715"/>
  <c r="J762"/>
  <c r="J124"/>
  <c r="L616"/>
  <c r="N616" s="1"/>
  <c r="Q616" s="1"/>
  <c r="T616" s="1"/>
  <c r="U616" s="1"/>
  <c r="V616" s="1"/>
  <c r="W616" s="1"/>
  <c r="J158"/>
  <c r="L685"/>
  <c r="N685" s="1"/>
  <c r="Q685" s="1"/>
  <c r="T685" s="1"/>
  <c r="V685" s="1"/>
  <c r="W685" s="1"/>
  <c r="L695"/>
  <c r="N695" s="1"/>
  <c r="Q695" s="1"/>
  <c r="T695" s="1"/>
  <c r="V695" s="1"/>
  <c r="W695" s="1"/>
  <c r="AF545"/>
  <c r="J171"/>
  <c r="J406"/>
  <c r="J141"/>
  <c r="J770"/>
  <c r="J707"/>
  <c r="J732"/>
  <c r="J47"/>
  <c r="L641"/>
  <c r="N641" s="1"/>
  <c r="Q641" s="1"/>
  <c r="T641" s="1"/>
  <c r="U641" s="1"/>
  <c r="V641" s="1"/>
  <c r="W641" s="1"/>
  <c r="J711"/>
  <c r="Q187"/>
  <c r="S187" s="1"/>
  <c r="Q229"/>
  <c r="S229" s="1"/>
  <c r="T229" s="1"/>
  <c r="M213"/>
  <c r="N213" s="1"/>
  <c r="V332"/>
  <c r="W332" s="1"/>
  <c r="P35"/>
  <c r="Q35" s="1"/>
  <c r="AE335"/>
  <c r="AF335" s="1"/>
  <c r="V747"/>
  <c r="W747" s="1"/>
  <c r="P241"/>
  <c r="Q241" s="1"/>
  <c r="V500"/>
  <c r="W500" s="1"/>
  <c r="P243"/>
  <c r="Q243" s="1"/>
  <c r="Y288"/>
  <c r="Z288" s="1"/>
  <c r="V357"/>
  <c r="W357" s="1"/>
  <c r="AB291"/>
  <c r="AC291" s="1"/>
  <c r="J333"/>
  <c r="L333"/>
  <c r="N333" s="1"/>
  <c r="Q333" s="1"/>
  <c r="T333" s="1"/>
  <c r="J661"/>
  <c r="L661"/>
  <c r="AB358"/>
  <c r="AC358" s="1"/>
  <c r="U503"/>
  <c r="V503" s="1"/>
  <c r="W503" s="1"/>
  <c r="J566"/>
  <c r="L566"/>
  <c r="N566" s="1"/>
  <c r="Q566" s="1"/>
  <c r="T566" s="1"/>
  <c r="M131"/>
  <c r="N131" s="1"/>
  <c r="J233"/>
  <c r="L233"/>
  <c r="N233" s="1"/>
  <c r="J397"/>
  <c r="L397"/>
  <c r="N397" s="1"/>
  <c r="Q397" s="1"/>
  <c r="T397" s="1"/>
  <c r="U698"/>
  <c r="V698" s="1"/>
  <c r="W698" s="1"/>
  <c r="L654"/>
  <c r="J654"/>
  <c r="L132"/>
  <c r="J132"/>
  <c r="AB197"/>
  <c r="AC197" s="1"/>
  <c r="U440"/>
  <c r="V440" s="1"/>
  <c r="W440" s="1"/>
  <c r="U484"/>
  <c r="V484" s="1"/>
  <c r="W484" s="1"/>
  <c r="V541"/>
  <c r="W541" s="1"/>
  <c r="U338"/>
  <c r="Y400"/>
  <c r="Z400" s="1"/>
  <c r="L5"/>
  <c r="J35"/>
  <c r="N56"/>
  <c r="L81"/>
  <c r="L128"/>
  <c r="L193"/>
  <c r="V619"/>
  <c r="W619" s="1"/>
  <c r="J20"/>
  <c r="L20"/>
  <c r="J57"/>
  <c r="L57"/>
  <c r="N57" s="1"/>
  <c r="Y82"/>
  <c r="Z82" s="1"/>
  <c r="P268"/>
  <c r="J437"/>
  <c r="L437"/>
  <c r="N437" s="1"/>
  <c r="Q437" s="1"/>
  <c r="T437" s="1"/>
  <c r="AE829"/>
  <c r="AF829" s="1"/>
  <c r="V99"/>
  <c r="W99" s="1"/>
  <c r="V214"/>
  <c r="W214" s="1"/>
  <c r="Y819"/>
  <c r="Z819" s="1"/>
  <c r="V359"/>
  <c r="N396"/>
  <c r="J538"/>
  <c r="L538"/>
  <c r="N538" s="1"/>
  <c r="Q538" s="1"/>
  <c r="T538" s="1"/>
  <c r="M84"/>
  <c r="N84" s="1"/>
  <c r="AE360"/>
  <c r="AF360" s="1"/>
  <c r="F686"/>
  <c r="AE689"/>
  <c r="AF689" s="1"/>
  <c r="J216"/>
  <c r="L216"/>
  <c r="Y361"/>
  <c r="Z361" s="1"/>
  <c r="U420"/>
  <c r="V420" s="1"/>
  <c r="W420" s="1"/>
  <c r="U699"/>
  <c r="V699" s="1"/>
  <c r="W699" s="1"/>
  <c r="V724"/>
  <c r="W724" s="1"/>
  <c r="J5"/>
  <c r="J421"/>
  <c r="L421"/>
  <c r="N421" s="1"/>
  <c r="Q421" s="1"/>
  <c r="T421" s="1"/>
  <c r="U438"/>
  <c r="V438" s="1"/>
  <c r="W438" s="1"/>
  <c r="U723"/>
  <c r="V723" s="1"/>
  <c r="W723" s="1"/>
  <c r="J378"/>
  <c r="L378"/>
  <c r="N378" s="1"/>
  <c r="Q378" s="1"/>
  <c r="T378" s="1"/>
  <c r="J398"/>
  <c r="L398"/>
  <c r="N398" s="1"/>
  <c r="Q398" s="1"/>
  <c r="T398" s="1"/>
  <c r="J505"/>
  <c r="L505"/>
  <c r="N505" s="1"/>
  <c r="Q505" s="1"/>
  <c r="T505" s="1"/>
  <c r="J540"/>
  <c r="L540"/>
  <c r="N540" s="1"/>
  <c r="Q540" s="1"/>
  <c r="T540" s="1"/>
  <c r="AE821"/>
  <c r="AF821" s="1"/>
  <c r="P272"/>
  <c r="Q272" s="1"/>
  <c r="U441"/>
  <c r="V441" s="1"/>
  <c r="W441" s="1"/>
  <c r="V573"/>
  <c r="W573" s="1"/>
  <c r="W535"/>
  <c r="W697"/>
  <c r="AF663"/>
  <c r="W696"/>
  <c r="W130"/>
  <c r="AF232"/>
  <c r="AF253"/>
  <c r="Z290"/>
  <c r="N163"/>
  <c r="AC855"/>
  <c r="J465"/>
  <c r="L465"/>
  <c r="N465" s="1"/>
  <c r="Q465" s="1"/>
  <c r="T465" s="1"/>
  <c r="P6"/>
  <c r="Y289"/>
  <c r="Z289" s="1"/>
  <c r="J394"/>
  <c r="L394"/>
  <c r="N394" s="1"/>
  <c r="Q394" s="1"/>
  <c r="T394" s="1"/>
  <c r="T58"/>
  <c r="V162"/>
  <c r="W162" s="1"/>
  <c r="U467"/>
  <c r="V467" s="1"/>
  <c r="W467" s="1"/>
  <c r="J622"/>
  <c r="L622"/>
  <c r="N622" s="1"/>
  <c r="Q622" s="1"/>
  <c r="T622" s="1"/>
  <c r="J7"/>
  <c r="L7"/>
  <c r="M37"/>
  <c r="N37" s="1"/>
  <c r="Y377"/>
  <c r="Z377" s="1"/>
  <c r="J423"/>
  <c r="L423"/>
  <c r="N423" s="1"/>
  <c r="Q423" s="1"/>
  <c r="T423" s="1"/>
  <c r="J372"/>
  <c r="L372"/>
  <c r="V86"/>
  <c r="W86" s="1"/>
  <c r="U507"/>
  <c r="V507" s="1"/>
  <c r="W507" s="1"/>
  <c r="U521"/>
  <c r="V521" s="1"/>
  <c r="W521" s="1"/>
  <c r="U542"/>
  <c r="V542" s="1"/>
  <c r="W542" s="1"/>
  <c r="U624"/>
  <c r="V624" s="1"/>
  <c r="W624" s="1"/>
  <c r="L863"/>
  <c r="W561"/>
  <c r="W722"/>
  <c r="AC818"/>
  <c r="V83"/>
  <c r="W83" s="1"/>
  <c r="V194"/>
  <c r="W194" s="1"/>
  <c r="AE242"/>
  <c r="AF242" s="1"/>
  <c r="AE269"/>
  <c r="AF269" s="1"/>
  <c r="AB422"/>
  <c r="AC422" s="1"/>
  <c r="N100"/>
  <c r="Q687"/>
  <c r="S687" s="1"/>
  <c r="L274"/>
  <c r="N274" s="1"/>
  <c r="J274"/>
  <c r="V295"/>
  <c r="W295" s="1"/>
  <c r="U401"/>
  <c r="V401" s="1"/>
  <c r="W401" s="1"/>
  <c r="P89"/>
  <c r="Q89" s="1"/>
  <c r="S255"/>
  <c r="T255" s="1"/>
  <c r="V365"/>
  <c r="W365" s="1"/>
  <c r="U567"/>
  <c r="V567" s="1"/>
  <c r="W567" s="1"/>
  <c r="U601"/>
  <c r="V601" s="1"/>
  <c r="W601" s="1"/>
  <c r="U726"/>
  <c r="V726" s="1"/>
  <c r="W726" s="1"/>
  <c r="P106"/>
  <c r="Q106" s="1"/>
  <c r="V602"/>
  <c r="W602" s="1"/>
  <c r="AE768"/>
  <c r="AF768" s="1"/>
  <c r="P27"/>
  <c r="Q27" s="1"/>
  <c r="AB41"/>
  <c r="AC41" s="1"/>
  <c r="S170"/>
  <c r="T170" s="1"/>
  <c r="AE490"/>
  <c r="AF490" s="1"/>
  <c r="U530"/>
  <c r="V530" s="1"/>
  <c r="W530" s="1"/>
  <c r="V822"/>
  <c r="W822" s="1"/>
  <c r="AE844"/>
  <c r="AF844" s="1"/>
  <c r="F755"/>
  <c r="T758"/>
  <c r="L98"/>
  <c r="N129"/>
  <c r="L501"/>
  <c r="N501" s="1"/>
  <c r="Q501" s="1"/>
  <c r="T501" s="1"/>
  <c r="L519"/>
  <c r="N519" s="1"/>
  <c r="Q519" s="1"/>
  <c r="T519" s="1"/>
  <c r="L536"/>
  <c r="N536" s="1"/>
  <c r="Q536" s="1"/>
  <c r="T536" s="1"/>
  <c r="U334"/>
  <c r="L439"/>
  <c r="N439" s="1"/>
  <c r="Q439" s="1"/>
  <c r="T439" s="1"/>
  <c r="L468"/>
  <c r="N468" s="1"/>
  <c r="Q468" s="1"/>
  <c r="T468" s="1"/>
  <c r="L504"/>
  <c r="N504" s="1"/>
  <c r="Q504" s="1"/>
  <c r="T504" s="1"/>
  <c r="L539"/>
  <c r="N539" s="1"/>
  <c r="Q539" s="1"/>
  <c r="T539" s="1"/>
  <c r="L664"/>
  <c r="N664" s="1"/>
  <c r="Q664" s="1"/>
  <c r="T664" s="1"/>
  <c r="W809"/>
  <c r="L759"/>
  <c r="Q101"/>
  <c r="L196"/>
  <c r="L271"/>
  <c r="N271" s="1"/>
  <c r="W292"/>
  <c r="V336"/>
  <c r="W336" s="1"/>
  <c r="L102"/>
  <c r="L165"/>
  <c r="AC198"/>
  <c r="AC778"/>
  <c r="N104"/>
  <c r="W543"/>
  <c r="W443"/>
  <c r="W693"/>
  <c r="J166"/>
  <c r="L166"/>
  <c r="N166" s="1"/>
  <c r="M167"/>
  <c r="L218"/>
  <c r="J218"/>
  <c r="V426"/>
  <c r="W426" s="1"/>
  <c r="P9"/>
  <c r="Q9" s="1"/>
  <c r="P39"/>
  <c r="Q39" s="1"/>
  <c r="U509"/>
  <c r="V509" s="1"/>
  <c r="W509" s="1"/>
  <c r="V626"/>
  <c r="W626" s="1"/>
  <c r="U381"/>
  <c r="U444"/>
  <c r="V444" s="1"/>
  <c r="W444" s="1"/>
  <c r="U584"/>
  <c r="V584" s="1"/>
  <c r="W584" s="1"/>
  <c r="P780"/>
  <c r="Q780" s="1"/>
  <c r="T780" s="1"/>
  <c r="U798"/>
  <c r="V798" s="1"/>
  <c r="W798" s="1"/>
  <c r="AE767"/>
  <c r="AF767" s="1"/>
  <c r="AB382"/>
  <c r="AC382" s="1"/>
  <c r="U585"/>
  <c r="V585" s="1"/>
  <c r="W585" s="1"/>
  <c r="V627"/>
  <c r="W627" s="1"/>
  <c r="U342"/>
  <c r="U383"/>
  <c r="V383" s="1"/>
  <c r="W383" s="1"/>
  <c r="U446"/>
  <c r="V446" s="1"/>
  <c r="W446" s="1"/>
  <c r="U471"/>
  <c r="V471" s="1"/>
  <c r="W471" s="1"/>
  <c r="U702"/>
  <c r="V702" s="1"/>
  <c r="W702" s="1"/>
  <c r="N755"/>
  <c r="V655"/>
  <c r="W655" s="1"/>
  <c r="Y655" s="1"/>
  <c r="AF830"/>
  <c r="W856"/>
  <c r="J687"/>
  <c r="L85"/>
  <c r="N22"/>
  <c r="L60"/>
  <c r="L373"/>
  <c r="N373" s="1"/>
  <c r="Q373" s="1"/>
  <c r="T373" s="1"/>
  <c r="L399"/>
  <c r="N399" s="1"/>
  <c r="Q399" s="1"/>
  <c r="T399" s="1"/>
  <c r="L424"/>
  <c r="N424" s="1"/>
  <c r="Q424" s="1"/>
  <c r="T424" s="1"/>
  <c r="AC217"/>
  <c r="AC234"/>
  <c r="AC379"/>
  <c r="J400"/>
  <c r="J507"/>
  <c r="N582"/>
  <c r="Q582" s="1"/>
  <c r="T582" s="1"/>
  <c r="AF786"/>
  <c r="AE811"/>
  <c r="AF811" s="1"/>
  <c r="Q25"/>
  <c r="T63"/>
  <c r="R865"/>
  <c r="Y690"/>
  <c r="J38"/>
  <c r="L38"/>
  <c r="N38" s="1"/>
  <c r="J103"/>
  <c r="L103"/>
  <c r="J24"/>
  <c r="L24"/>
  <c r="U339"/>
  <c r="L508"/>
  <c r="N508" s="1"/>
  <c r="Q508" s="1"/>
  <c r="T508" s="1"/>
  <c r="J508"/>
  <c r="V522"/>
  <c r="W522" s="1"/>
  <c r="P200"/>
  <c r="Q200" s="1"/>
  <c r="P169"/>
  <c r="Q169" s="1"/>
  <c r="V297"/>
  <c r="W297" s="1"/>
  <c r="U792"/>
  <c r="V792" s="1"/>
  <c r="W792" s="1"/>
  <c r="S256"/>
  <c r="T256" s="1"/>
  <c r="V298"/>
  <c r="W298" s="1"/>
  <c r="U670"/>
  <c r="V670" s="1"/>
  <c r="W670" s="1"/>
  <c r="P859"/>
  <c r="Q859" s="1"/>
  <c r="AC244"/>
  <c r="AF273"/>
  <c r="J338"/>
  <c r="J582"/>
  <c r="J88"/>
  <c r="W544"/>
  <c r="W692"/>
  <c r="W764"/>
  <c r="W470"/>
  <c r="P8"/>
  <c r="Q8" s="1"/>
  <c r="AB254"/>
  <c r="AC254" s="1"/>
  <c r="AE831"/>
  <c r="AF831" s="1"/>
  <c r="Y323"/>
  <c r="P168"/>
  <c r="Q168" s="1"/>
  <c r="AB246"/>
  <c r="AC246" s="1"/>
  <c r="Y340"/>
  <c r="Z340" s="1"/>
  <c r="V402"/>
  <c r="W402" s="1"/>
  <c r="U427"/>
  <c r="V427" s="1"/>
  <c r="W427" s="1"/>
  <c r="U469"/>
  <c r="V469" s="1"/>
  <c r="W469" s="1"/>
  <c r="U701"/>
  <c r="V701" s="1"/>
  <c r="W701" s="1"/>
  <c r="P26"/>
  <c r="Q26" s="1"/>
  <c r="V341"/>
  <c r="W341" s="1"/>
  <c r="U445"/>
  <c r="V445" s="1"/>
  <c r="W445" s="1"/>
  <c r="P138"/>
  <c r="Q138" s="1"/>
  <c r="P202"/>
  <c r="Q202" s="1"/>
  <c r="U533"/>
  <c r="V533" s="1"/>
  <c r="W533" s="1"/>
  <c r="L133"/>
  <c r="AF691"/>
  <c r="J699"/>
  <c r="W625"/>
  <c r="W725"/>
  <c r="Q237"/>
  <c r="W428"/>
  <c r="M203"/>
  <c r="N203" s="1"/>
  <c r="U384"/>
  <c r="V384" s="1"/>
  <c r="W384" s="1"/>
  <c r="U547"/>
  <c r="V547" s="1"/>
  <c r="W547" s="1"/>
  <c r="U605"/>
  <c r="V605" s="1"/>
  <c r="W605" s="1"/>
  <c r="J728"/>
  <c r="L728"/>
  <c r="N728" s="1"/>
  <c r="Q728" s="1"/>
  <c r="T728" s="1"/>
  <c r="U704"/>
  <c r="V704" s="1"/>
  <c r="W704" s="1"/>
  <c r="S258"/>
  <c r="T258" s="1"/>
  <c r="U548"/>
  <c r="V548" s="1"/>
  <c r="W548" s="1"/>
  <c r="P280"/>
  <c r="Q280" s="1"/>
  <c r="U386"/>
  <c r="V386" s="1"/>
  <c r="W386" s="1"/>
  <c r="L408"/>
  <c r="N408" s="1"/>
  <c r="Q408" s="1"/>
  <c r="T408" s="1"/>
  <c r="J408"/>
  <c r="U347"/>
  <c r="V347" s="1"/>
  <c r="W347" s="1"/>
  <c r="V477"/>
  <c r="W477" s="1"/>
  <c r="V640"/>
  <c r="W640" s="1"/>
  <c r="U553"/>
  <c r="V553" s="1"/>
  <c r="W553" s="1"/>
  <c r="U657"/>
  <c r="V657" s="1"/>
  <c r="W657" s="1"/>
  <c r="U694"/>
  <c r="V694" s="1"/>
  <c r="W694" s="1"/>
  <c r="M375"/>
  <c r="N375" s="1"/>
  <c r="Q375" s="1"/>
  <c r="T375" s="1"/>
  <c r="W375" s="1"/>
  <c r="Q11"/>
  <c r="M65"/>
  <c r="N65" s="1"/>
  <c r="J91"/>
  <c r="L91"/>
  <c r="M108"/>
  <c r="N108" s="1"/>
  <c r="J139"/>
  <c r="L139"/>
  <c r="U343"/>
  <c r="U524"/>
  <c r="V524" s="1"/>
  <c r="W524" s="1"/>
  <c r="U576"/>
  <c r="V576" s="1"/>
  <c r="W576" s="1"/>
  <c r="L586"/>
  <c r="N586" s="1"/>
  <c r="Q586" s="1"/>
  <c r="T586" s="1"/>
  <c r="J586"/>
  <c r="J781"/>
  <c r="L781"/>
  <c r="N781" s="1"/>
  <c r="Q781" s="1"/>
  <c r="T781" s="1"/>
  <c r="V472"/>
  <c r="W472" s="1"/>
  <c r="U577"/>
  <c r="V577" s="1"/>
  <c r="W577" s="1"/>
  <c r="U770"/>
  <c r="V770" s="1"/>
  <c r="W770" s="1"/>
  <c r="L782"/>
  <c r="N782" s="1"/>
  <c r="Q782" s="1"/>
  <c r="T782" s="1"/>
  <c r="J782"/>
  <c r="L142"/>
  <c r="J142"/>
  <c r="AE838"/>
  <c r="AF838" s="1"/>
  <c r="J145"/>
  <c r="L145"/>
  <c r="Y305"/>
  <c r="Z305" s="1"/>
  <c r="P71"/>
  <c r="Q71" s="1"/>
  <c r="AE330"/>
  <c r="AF330" s="1"/>
  <c r="V808"/>
  <c r="W808" s="1"/>
  <c r="AC236"/>
  <c r="W777"/>
  <c r="AC220"/>
  <c r="AF275"/>
  <c r="W568"/>
  <c r="W668"/>
  <c r="F327"/>
  <c r="T276"/>
  <c r="W404"/>
  <c r="W510"/>
  <c r="W529"/>
  <c r="W628"/>
  <c r="W727"/>
  <c r="J755"/>
  <c r="AC629"/>
  <c r="J655"/>
  <c r="N171"/>
  <c r="AE843"/>
  <c r="AF843" s="1"/>
  <c r="Q10"/>
  <c r="P40"/>
  <c r="Q40" s="1"/>
  <c r="Y836"/>
  <c r="Z836" s="1"/>
  <c r="J248"/>
  <c r="L248"/>
  <c r="F328"/>
  <c r="U405"/>
  <c r="V405" s="1"/>
  <c r="W405" s="1"/>
  <c r="J788"/>
  <c r="L788"/>
  <c r="N788" s="1"/>
  <c r="Q788" s="1"/>
  <c r="T788" s="1"/>
  <c r="U406"/>
  <c r="L448"/>
  <c r="N448" s="1"/>
  <c r="Q448" s="1"/>
  <c r="T448" s="1"/>
  <c r="J448"/>
  <c r="L223"/>
  <c r="N223" s="1"/>
  <c r="J223"/>
  <c r="U407"/>
  <c r="V407" s="1"/>
  <c r="W407" s="1"/>
  <c r="U562"/>
  <c r="V562" s="1"/>
  <c r="W562" s="1"/>
  <c r="M752"/>
  <c r="N752" s="1"/>
  <c r="Q752" s="1"/>
  <c r="AE794"/>
  <c r="AF794" s="1"/>
  <c r="U450"/>
  <c r="V450" s="1"/>
  <c r="W450" s="1"/>
  <c r="AB474"/>
  <c r="AC474" s="1"/>
  <c r="Y732"/>
  <c r="Z732" s="1"/>
  <c r="J283"/>
  <c r="L283"/>
  <c r="N283" s="1"/>
  <c r="L46"/>
  <c r="J46"/>
  <c r="AB261"/>
  <c r="AC261" s="1"/>
  <c r="U675"/>
  <c r="V675" s="1"/>
  <c r="W675" s="1"/>
  <c r="M117"/>
  <c r="N117" s="1"/>
  <c r="U413"/>
  <c r="V413" s="1"/>
  <c r="W413" s="1"/>
  <c r="U711"/>
  <c r="V711" s="1"/>
  <c r="W711" s="1"/>
  <c r="AE613"/>
  <c r="AF613" s="1"/>
  <c r="W583"/>
  <c r="W667"/>
  <c r="W766"/>
  <c r="W779"/>
  <c r="W787"/>
  <c r="Q107"/>
  <c r="T221"/>
  <c r="W523"/>
  <c r="W546"/>
  <c r="J222"/>
  <c r="L222"/>
  <c r="U447"/>
  <c r="V447" s="1"/>
  <c r="W447" s="1"/>
  <c r="U630"/>
  <c r="V630" s="1"/>
  <c r="W630" s="1"/>
  <c r="J703"/>
  <c r="L703"/>
  <c r="N703" s="1"/>
  <c r="Q703" s="1"/>
  <c r="T703" s="1"/>
  <c r="AB793"/>
  <c r="AC793" s="1"/>
  <c r="S43"/>
  <c r="T43" s="1"/>
  <c r="V257"/>
  <c r="W257" s="1"/>
  <c r="J173"/>
  <c r="L173"/>
  <c r="N173" s="1"/>
  <c r="U473"/>
  <c r="V473" s="1"/>
  <c r="W473" s="1"/>
  <c r="U512"/>
  <c r="V512" s="1"/>
  <c r="W512" s="1"/>
  <c r="U587"/>
  <c r="V587" s="1"/>
  <c r="W587" s="1"/>
  <c r="L607"/>
  <c r="N607" s="1"/>
  <c r="Q607" s="1"/>
  <c r="T607" s="1"/>
  <c r="J607"/>
  <c r="AE756"/>
  <c r="AF756" s="1"/>
  <c r="U345"/>
  <c r="U433"/>
  <c r="V433" s="1"/>
  <c r="W433" s="1"/>
  <c r="AB549"/>
  <c r="AC549" s="1"/>
  <c r="U706"/>
  <c r="V706" s="1"/>
  <c r="W706" s="1"/>
  <c r="L731"/>
  <c r="N731" s="1"/>
  <c r="Q731" s="1"/>
  <c r="T731" s="1"/>
  <c r="J731"/>
  <c r="S387"/>
  <c r="T387" s="1"/>
  <c r="U734"/>
  <c r="V734" s="1"/>
  <c r="W734" s="1"/>
  <c r="J73"/>
  <c r="L73"/>
  <c r="L350"/>
  <c r="J350"/>
  <c r="AC245"/>
  <c r="Q136"/>
  <c r="Q247"/>
  <c r="N28"/>
  <c r="J66"/>
  <c r="L66"/>
  <c r="J279"/>
  <c r="L279"/>
  <c r="N279" s="1"/>
  <c r="V301"/>
  <c r="W301" s="1"/>
  <c r="J799"/>
  <c r="L799"/>
  <c r="N799" s="1"/>
  <c r="Q799" s="1"/>
  <c r="T799" s="1"/>
  <c r="J13"/>
  <c r="L13"/>
  <c r="U513"/>
  <c r="V513" s="1"/>
  <c r="W513" s="1"/>
  <c r="L634"/>
  <c r="N634" s="1"/>
  <c r="Q634" s="1"/>
  <c r="T634" s="1"/>
  <c r="J634"/>
  <c r="AE771"/>
  <c r="AF771" s="1"/>
  <c r="P144"/>
  <c r="Q144" s="1"/>
  <c r="Y304"/>
  <c r="Z304" s="1"/>
  <c r="Y388"/>
  <c r="Z388" s="1"/>
  <c r="U551"/>
  <c r="V551" s="1"/>
  <c r="W551" s="1"/>
  <c r="U708"/>
  <c r="V708" s="1"/>
  <c r="W708" s="1"/>
  <c r="L114"/>
  <c r="N114" s="1"/>
  <c r="N454"/>
  <c r="P116"/>
  <c r="Q116" s="1"/>
  <c r="U390"/>
  <c r="AB854"/>
  <c r="AC854" s="1"/>
  <c r="Y570"/>
  <c r="Z570" s="1"/>
  <c r="J580"/>
  <c r="L580"/>
  <c r="N580" s="1"/>
  <c r="Q580" s="1"/>
  <c r="T580" s="1"/>
  <c r="J593"/>
  <c r="L593"/>
  <c r="N593" s="1"/>
  <c r="Q593" s="1"/>
  <c r="T593" s="1"/>
  <c r="J802"/>
  <c r="L802"/>
  <c r="N802" s="1"/>
  <c r="Q802" s="1"/>
  <c r="T802" s="1"/>
  <c r="AE74"/>
  <c r="AE226"/>
  <c r="AF226" s="1"/>
  <c r="AE376"/>
  <c r="V644"/>
  <c r="W644" s="1"/>
  <c r="W631"/>
  <c r="W729"/>
  <c r="N204"/>
  <c r="N111"/>
  <c r="W673"/>
  <c r="S45"/>
  <c r="T45" s="1"/>
  <c r="U589"/>
  <c r="V589" s="1"/>
  <c r="W589" s="1"/>
  <c r="U707"/>
  <c r="V707" s="1"/>
  <c r="W707" s="1"/>
  <c r="V94"/>
  <c r="W94" s="1"/>
  <c r="N70"/>
  <c r="AE329"/>
  <c r="AF329" s="1"/>
  <c r="J789"/>
  <c r="L789"/>
  <c r="V800"/>
  <c r="W800" s="1"/>
  <c r="J284"/>
  <c r="L284"/>
  <c r="N284" s="1"/>
  <c r="Y306"/>
  <c r="Z306" s="1"/>
  <c r="M790"/>
  <c r="N790" s="1"/>
  <c r="Q790" s="1"/>
  <c r="T790" s="1"/>
  <c r="V710"/>
  <c r="W710" s="1"/>
  <c r="J611"/>
  <c r="L611"/>
  <c r="N611" s="1"/>
  <c r="Q611" s="1"/>
  <c r="T611" s="1"/>
  <c r="J639"/>
  <c r="L639"/>
  <c r="N639" s="1"/>
  <c r="Q639" s="1"/>
  <c r="T639" s="1"/>
  <c r="J676"/>
  <c r="L676"/>
  <c r="N676" s="1"/>
  <c r="Q676" s="1"/>
  <c r="T676" s="1"/>
  <c r="J773"/>
  <c r="L773"/>
  <c r="N773" s="1"/>
  <c r="Q773" s="1"/>
  <c r="T773" s="1"/>
  <c r="V262"/>
  <c r="W262" s="1"/>
  <c r="Y774"/>
  <c r="Z774" s="1"/>
  <c r="Y803"/>
  <c r="Z803" s="1"/>
  <c r="U527"/>
  <c r="V527" s="1"/>
  <c r="W527" s="1"/>
  <c r="J277"/>
  <c r="J524"/>
  <c r="J605"/>
  <c r="S656"/>
  <c r="T656" s="1"/>
  <c r="J109"/>
  <c r="Z300"/>
  <c r="J472"/>
  <c r="W92"/>
  <c r="N110"/>
  <c r="Q141"/>
  <c r="W672"/>
  <c r="J433"/>
  <c r="Q47"/>
  <c r="J511"/>
  <c r="L511"/>
  <c r="N511" s="1"/>
  <c r="Q511" s="1"/>
  <c r="T511" s="1"/>
  <c r="Q29"/>
  <c r="AE30"/>
  <c r="AF30" s="1"/>
  <c r="U410"/>
  <c r="V410" s="1"/>
  <c r="W410" s="1"/>
  <c r="P179"/>
  <c r="Q179" s="1"/>
  <c r="Y307"/>
  <c r="Z307" s="1"/>
  <c r="J148"/>
  <c r="L148"/>
  <c r="Z308"/>
  <c r="V736"/>
  <c r="W736" s="1"/>
  <c r="U751"/>
  <c r="V751" s="1"/>
  <c r="W751" s="1"/>
  <c r="X571"/>
  <c r="M250"/>
  <c r="N250" s="1"/>
  <c r="U565"/>
  <c r="V565" s="1"/>
  <c r="W565" s="1"/>
  <c r="W299"/>
  <c r="N93"/>
  <c r="N224"/>
  <c r="S176"/>
  <c r="T176" s="1"/>
  <c r="K712"/>
  <c r="V259"/>
  <c r="W259" s="1"/>
  <c r="AE282"/>
  <c r="AF282" s="1"/>
  <c r="J348"/>
  <c r="L348"/>
  <c r="N348" s="1"/>
  <c r="Q348" s="1"/>
  <c r="T348" s="1"/>
  <c r="M95"/>
  <c r="N95" s="1"/>
  <c r="J115"/>
  <c r="L115"/>
  <c r="M146"/>
  <c r="N146" s="1"/>
  <c r="J206"/>
  <c r="L206"/>
  <c r="M225"/>
  <c r="N225" s="1"/>
  <c r="J239"/>
  <c r="L239"/>
  <c r="N239" s="1"/>
  <c r="J349"/>
  <c r="L349"/>
  <c r="N349" s="1"/>
  <c r="Q349" s="1"/>
  <c r="T349" s="1"/>
  <c r="J366"/>
  <c r="L366"/>
  <c r="N366" s="1"/>
  <c r="Q366" s="1"/>
  <c r="T366" s="1"/>
  <c r="J389"/>
  <c r="L389"/>
  <c r="N389" s="1"/>
  <c r="Q389" s="1"/>
  <c r="T389" s="1"/>
  <c r="J411"/>
  <c r="L411"/>
  <c r="N411" s="1"/>
  <c r="Q411" s="1"/>
  <c r="T411" s="1"/>
  <c r="J453"/>
  <c r="L453"/>
  <c r="N453" s="1"/>
  <c r="Q453" s="1"/>
  <c r="T453" s="1"/>
  <c r="J476"/>
  <c r="L476"/>
  <c r="N476" s="1"/>
  <c r="Q476" s="1"/>
  <c r="T476" s="1"/>
  <c r="J495"/>
  <c r="L495"/>
  <c r="N495" s="1"/>
  <c r="Q495" s="1"/>
  <c r="T495" s="1"/>
  <c r="J514"/>
  <c r="L514"/>
  <c r="N514" s="1"/>
  <c r="Q514" s="1"/>
  <c r="T514" s="1"/>
  <c r="J525"/>
  <c r="L525"/>
  <c r="N525" s="1"/>
  <c r="Q525" s="1"/>
  <c r="T525" s="1"/>
  <c r="J532"/>
  <c r="L532"/>
  <c r="N532" s="1"/>
  <c r="Q532" s="1"/>
  <c r="T532" s="1"/>
  <c r="J552"/>
  <c r="L552"/>
  <c r="N552" s="1"/>
  <c r="Q552" s="1"/>
  <c r="T552" s="1"/>
  <c r="J579"/>
  <c r="L579"/>
  <c r="N579" s="1"/>
  <c r="Q579" s="1"/>
  <c r="T579" s="1"/>
  <c r="J590"/>
  <c r="L590"/>
  <c r="N590" s="1"/>
  <c r="Q590" s="1"/>
  <c r="T590" s="1"/>
  <c r="J610"/>
  <c r="L610"/>
  <c r="N610" s="1"/>
  <c r="Q610" s="1"/>
  <c r="T610" s="1"/>
  <c r="J638"/>
  <c r="L638"/>
  <c r="N638" s="1"/>
  <c r="Q638" s="1"/>
  <c r="T638" s="1"/>
  <c r="T591"/>
  <c r="P147"/>
  <c r="Q147" s="1"/>
  <c r="T455"/>
  <c r="J677"/>
  <c r="L677"/>
  <c r="N677" s="1"/>
  <c r="Q677" s="1"/>
  <c r="T677" s="1"/>
  <c r="V817"/>
  <c r="W817" s="1"/>
  <c r="I571"/>
  <c r="I712"/>
  <c r="AE207"/>
  <c r="AF207" s="1"/>
  <c r="M75"/>
  <c r="N75" s="1"/>
  <c r="J240"/>
  <c r="L240"/>
  <c r="U456"/>
  <c r="V456" s="1"/>
  <c r="W456" s="1"/>
  <c r="U554"/>
  <c r="V554" s="1"/>
  <c r="W554" s="1"/>
  <c r="W346"/>
  <c r="W409"/>
  <c r="W475"/>
  <c r="W452"/>
  <c r="W637"/>
  <c r="W709"/>
  <c r="W760"/>
  <c r="Q72"/>
  <c r="W391"/>
  <c r="W526"/>
  <c r="W564"/>
  <c r="Z574"/>
  <c r="L774"/>
  <c r="N774" s="1"/>
  <c r="Q774" s="1"/>
  <c r="M69"/>
  <c r="J112"/>
  <c r="L112"/>
  <c r="M143"/>
  <c r="N143" s="1"/>
  <c r="P113"/>
  <c r="Q113" s="1"/>
  <c r="U515"/>
  <c r="V515" s="1"/>
  <c r="W515" s="1"/>
  <c r="N175"/>
  <c r="W303"/>
  <c r="N178"/>
  <c r="N783"/>
  <c r="Q783" s="1"/>
  <c r="T783" s="1"/>
  <c r="W412"/>
  <c r="J591"/>
  <c r="N797"/>
  <c r="Q797" s="1"/>
  <c r="T797" s="1"/>
  <c r="AF181"/>
  <c r="AF678"/>
  <c r="AF712"/>
  <c r="AF775"/>
  <c r="W713"/>
  <c r="AF571"/>
  <c r="M150"/>
  <c r="N150" s="1"/>
  <c r="M208"/>
  <c r="N208" s="1"/>
  <c r="J286"/>
  <c r="L286"/>
  <c r="N286" s="1"/>
  <c r="Y310"/>
  <c r="Z310" s="1"/>
  <c r="U392"/>
  <c r="V392" s="1"/>
  <c r="W392" s="1"/>
  <c r="U479"/>
  <c r="V479" s="1"/>
  <c r="W479" s="1"/>
  <c r="F712"/>
  <c r="F571"/>
  <c r="AF594"/>
  <c r="O712"/>
  <c r="AF643"/>
  <c r="W738"/>
  <c r="AF832"/>
  <c r="P51"/>
  <c r="Q51" s="1"/>
  <c r="M153"/>
  <c r="N153" s="1"/>
  <c r="P265"/>
  <c r="Q265" s="1"/>
  <c r="T265" s="1"/>
  <c r="P266"/>
  <c r="Q266" s="1"/>
  <c r="T266" s="1"/>
  <c r="V460"/>
  <c r="W460" s="1"/>
  <c r="U560"/>
  <c r="V560" s="1"/>
  <c r="W560" s="1"/>
  <c r="U740"/>
  <c r="V740" s="1"/>
  <c r="W740" s="1"/>
  <c r="N737"/>
  <c r="AC48"/>
  <c r="N96"/>
  <c r="L119"/>
  <c r="L182"/>
  <c r="L212"/>
  <c r="N212" s="1"/>
  <c r="L351"/>
  <c r="N351" s="1"/>
  <c r="Q351" s="1"/>
  <c r="T351" s="1"/>
  <c r="L414"/>
  <c r="N414" s="1"/>
  <c r="Q414" s="1"/>
  <c r="T414" s="1"/>
  <c r="L435"/>
  <c r="N435" s="1"/>
  <c r="Q435" s="1"/>
  <c r="T435" s="1"/>
  <c r="L151"/>
  <c r="Z311"/>
  <c r="L352"/>
  <c r="N352" s="1"/>
  <c r="Q352" s="1"/>
  <c r="T352" s="1"/>
  <c r="L415"/>
  <c r="N415" s="1"/>
  <c r="Q415" s="1"/>
  <c r="T415" s="1"/>
  <c r="L457"/>
  <c r="N457" s="1"/>
  <c r="Q457" s="1"/>
  <c r="T457" s="1"/>
  <c r="L555"/>
  <c r="N555" s="1"/>
  <c r="Q555" s="1"/>
  <c r="T555" s="1"/>
  <c r="L614"/>
  <c r="N614" s="1"/>
  <c r="Q614" s="1"/>
  <c r="T614" s="1"/>
  <c r="L714"/>
  <c r="N714" s="1"/>
  <c r="Q714" s="1"/>
  <c r="T714" s="1"/>
  <c r="L739"/>
  <c r="N739" s="1"/>
  <c r="Q739" s="1"/>
  <c r="T739" s="1"/>
  <c r="Y645"/>
  <c r="Z645" s="1"/>
  <c r="U719"/>
  <c r="V719" s="1"/>
  <c r="W719" s="1"/>
  <c r="AB313"/>
  <c r="AC313" s="1"/>
  <c r="P321"/>
  <c r="Q321" s="1"/>
  <c r="AE761"/>
  <c r="AF761" s="1"/>
  <c r="S16"/>
  <c r="T16" s="1"/>
  <c r="S77"/>
  <c r="T77" s="1"/>
  <c r="J151"/>
  <c r="J2"/>
  <c r="V784"/>
  <c r="W784" s="1"/>
  <c r="L595"/>
  <c r="N595" s="1"/>
  <c r="Q595" s="1"/>
  <c r="T595" s="1"/>
  <c r="J595"/>
  <c r="L679"/>
  <c r="N679" s="1"/>
  <c r="Q679" s="1"/>
  <c r="T679" s="1"/>
  <c r="J679"/>
  <c r="U765"/>
  <c r="V765" s="1"/>
  <c r="W765" s="1"/>
  <c r="V853"/>
  <c r="W853" s="1"/>
  <c r="U459"/>
  <c r="V459" s="1"/>
  <c r="W459" s="1"/>
  <c r="U596"/>
  <c r="V596" s="1"/>
  <c r="W596" s="1"/>
  <c r="U615"/>
  <c r="V615" s="1"/>
  <c r="W615" s="1"/>
  <c r="U617"/>
  <c r="V617" s="1"/>
  <c r="W617" s="1"/>
  <c r="U646"/>
  <c r="V646" s="1"/>
  <c r="W646" s="1"/>
  <c r="P15"/>
  <c r="Q15" s="1"/>
  <c r="M76"/>
  <c r="N76" s="1"/>
  <c r="P192"/>
  <c r="Q192" s="1"/>
  <c r="U598"/>
  <c r="V598" s="1"/>
  <c r="W598" s="1"/>
  <c r="Y757"/>
  <c r="Z757" s="1"/>
  <c r="S785"/>
  <c r="T785" s="1"/>
  <c r="S861"/>
  <c r="U417"/>
  <c r="V417" s="1"/>
  <c r="W417" s="1"/>
  <c r="AC49"/>
  <c r="L183"/>
  <c r="Z312"/>
  <c r="L353"/>
  <c r="N353" s="1"/>
  <c r="Q353" s="1"/>
  <c r="T353" s="1"/>
  <c r="L431"/>
  <c r="N431" s="1"/>
  <c r="Q431" s="1"/>
  <c r="T431" s="1"/>
  <c r="L458"/>
  <c r="N458" s="1"/>
  <c r="Q458" s="1"/>
  <c r="T458" s="1"/>
  <c r="L480"/>
  <c r="N480" s="1"/>
  <c r="Q480" s="1"/>
  <c r="T480" s="1"/>
  <c r="L516"/>
  <c r="N516" s="1"/>
  <c r="Q516" s="1"/>
  <c r="T516" s="1"/>
  <c r="L556"/>
  <c r="N556" s="1"/>
  <c r="Q556" s="1"/>
  <c r="T556" s="1"/>
  <c r="L581"/>
  <c r="N581" s="1"/>
  <c r="Q581" s="1"/>
  <c r="T581" s="1"/>
  <c r="J581"/>
  <c r="V354"/>
  <c r="W354" s="1"/>
  <c r="U569"/>
  <c r="V569" s="1"/>
  <c r="W569" s="1"/>
  <c r="S680"/>
  <c r="T680" s="1"/>
  <c r="U715"/>
  <c r="V715" s="1"/>
  <c r="W715" s="1"/>
  <c r="P762"/>
  <c r="Q762" s="1"/>
  <c r="U355"/>
  <c r="V355" s="1"/>
  <c r="W355" s="1"/>
  <c r="M2"/>
  <c r="N2" s="1"/>
  <c r="W482"/>
  <c r="AE650"/>
  <c r="AF650" s="1"/>
  <c r="P189"/>
  <c r="Q189" s="1"/>
  <c r="V368"/>
  <c r="W368" s="1"/>
  <c r="U717"/>
  <c r="V717" s="1"/>
  <c r="W717" s="1"/>
  <c r="P79"/>
  <c r="Q79" s="1"/>
  <c r="U463"/>
  <c r="U718"/>
  <c r="V718" s="1"/>
  <c r="W718" s="1"/>
  <c r="V720"/>
  <c r="W720" s="1"/>
  <c r="P50"/>
  <c r="Q50" s="1"/>
  <c r="P120"/>
  <c r="Q120" s="1"/>
  <c r="P152"/>
  <c r="Q152" s="1"/>
  <c r="P184"/>
  <c r="Q184" s="1"/>
  <c r="P287"/>
  <c r="Q287" s="1"/>
  <c r="J3"/>
  <c r="M4"/>
  <c r="N4" s="1"/>
  <c r="J15"/>
  <c r="J76"/>
  <c r="M121"/>
  <c r="N121" s="1"/>
  <c r="J153"/>
  <c r="L322"/>
  <c r="N322" s="1"/>
  <c r="L416"/>
  <c r="N416" s="1"/>
  <c r="Q416" s="1"/>
  <c r="T416" s="1"/>
  <c r="L432"/>
  <c r="N432" s="1"/>
  <c r="Q432" s="1"/>
  <c r="T432" s="1"/>
  <c r="L517"/>
  <c r="N517" s="1"/>
  <c r="Q517" s="1"/>
  <c r="T517" s="1"/>
  <c r="L528"/>
  <c r="N528" s="1"/>
  <c r="Q528" s="1"/>
  <c r="T528" s="1"/>
  <c r="L534"/>
  <c r="N534" s="1"/>
  <c r="Q534" s="1"/>
  <c r="T534" s="1"/>
  <c r="L557"/>
  <c r="N557" s="1"/>
  <c r="Q557" s="1"/>
  <c r="T557" s="1"/>
  <c r="L559"/>
  <c r="L658"/>
  <c r="N658" s="1"/>
  <c r="Q658" s="1"/>
  <c r="L763"/>
  <c r="N763" s="1"/>
  <c r="Q122"/>
  <c r="Q154"/>
  <c r="Q186"/>
  <c r="AC315"/>
  <c r="U649"/>
  <c r="V649" s="1"/>
  <c r="W649" s="1"/>
  <c r="Y318"/>
  <c r="Z318" s="1"/>
  <c r="U743"/>
  <c r="V743" s="1"/>
  <c r="W743" s="1"/>
  <c r="U558"/>
  <c r="V558" s="1"/>
  <c r="W558" s="1"/>
  <c r="U744"/>
  <c r="V744" s="1"/>
  <c r="W744" s="1"/>
  <c r="Y805"/>
  <c r="Z805" s="1"/>
  <c r="Y572"/>
  <c r="Z572" s="1"/>
  <c r="F331"/>
  <c r="U461"/>
  <c r="V461" s="1"/>
  <c r="W461" s="1"/>
  <c r="U648"/>
  <c r="V648" s="1"/>
  <c r="W648" s="1"/>
  <c r="T753"/>
  <c r="T263"/>
  <c r="Y316"/>
  <c r="Z316" s="1"/>
  <c r="V681"/>
  <c r="W681" s="1"/>
  <c r="P188"/>
  <c r="Q188" s="1"/>
  <c r="AB682"/>
  <c r="AC682" s="1"/>
  <c r="S125"/>
  <c r="T125" s="1"/>
  <c r="U518"/>
  <c r="V518" s="1"/>
  <c r="W518" s="1"/>
  <c r="U683"/>
  <c r="V683" s="1"/>
  <c r="W683" s="1"/>
  <c r="AB849"/>
  <c r="AC849" s="1"/>
  <c r="M126"/>
  <c r="Y319"/>
  <c r="Z319" s="1"/>
  <c r="V597"/>
  <c r="W597" s="1"/>
  <c r="S55"/>
  <c r="T55" s="1"/>
  <c r="V464"/>
  <c r="W464" s="1"/>
  <c r="Y684"/>
  <c r="Z684" s="1"/>
  <c r="AB684" s="1"/>
  <c r="L32"/>
  <c r="N185"/>
  <c r="N209"/>
  <c r="L228"/>
  <c r="N314"/>
  <c r="L331"/>
  <c r="N331" s="1"/>
  <c r="Q331" s="1"/>
  <c r="T331" s="1"/>
  <c r="L481"/>
  <c r="N481" s="1"/>
  <c r="Q481" s="1"/>
  <c r="T481" s="1"/>
  <c r="L647"/>
  <c r="N647" s="1"/>
  <c r="Q647" s="1"/>
  <c r="T647" s="1"/>
  <c r="T33"/>
  <c r="U741"/>
  <c r="V741" s="1"/>
  <c r="W741" s="1"/>
  <c r="P124"/>
  <c r="Q124" s="1"/>
  <c r="AB317"/>
  <c r="AC317" s="1"/>
  <c r="S157"/>
  <c r="T157" s="1"/>
  <c r="S210"/>
  <c r="T210" s="1"/>
  <c r="U434"/>
  <c r="U483"/>
  <c r="V483" s="1"/>
  <c r="W483" s="1"/>
  <c r="U651"/>
  <c r="V651" s="1"/>
  <c r="W651" s="1"/>
  <c r="P158"/>
  <c r="Q158" s="1"/>
  <c r="P190"/>
  <c r="Q190" s="1"/>
  <c r="AB776"/>
  <c r="AC776" s="1"/>
  <c r="P34"/>
  <c r="Q34" s="1"/>
  <c r="V575"/>
  <c r="W575" s="1"/>
  <c r="V653"/>
  <c r="W653" s="1"/>
  <c r="L3"/>
  <c r="AF847"/>
  <c r="Q123"/>
  <c r="L156"/>
  <c r="N156" s="1"/>
  <c r="L462"/>
  <c r="N462" s="1"/>
  <c r="Q462" s="1"/>
  <c r="T462" s="1"/>
  <c r="L19"/>
  <c r="L80"/>
  <c r="N127"/>
  <c r="L159"/>
  <c r="N191"/>
  <c r="L211"/>
  <c r="N230"/>
  <c r="AF264"/>
  <c r="L419"/>
  <c r="N419" s="1"/>
  <c r="Q419" s="1"/>
  <c r="T419" s="1"/>
  <c r="L748"/>
  <c r="N748" s="1"/>
  <c r="Q748" s="1"/>
  <c r="L749"/>
  <c r="N749" s="1"/>
  <c r="Q749" s="1"/>
  <c r="T749" s="1"/>
  <c r="Y842"/>
  <c r="Z842" s="1"/>
  <c r="L18"/>
  <c r="T64" l="1"/>
  <c r="V64" s="1"/>
  <c r="W64" s="1"/>
  <c r="W436"/>
  <c r="Y436" s="1"/>
  <c r="Z436" s="1"/>
  <c r="T52"/>
  <c r="V52" s="1"/>
  <c r="W52" s="1"/>
  <c r="Z302"/>
  <c r="AB302" s="1"/>
  <c r="AC302" s="1"/>
  <c r="Q109"/>
  <c r="S109" s="1"/>
  <c r="T109" s="1"/>
  <c r="W633"/>
  <c r="Y633" s="1"/>
  <c r="Z633" s="1"/>
  <c r="N140"/>
  <c r="W425"/>
  <c r="Y425" s="1"/>
  <c r="Z425" s="1"/>
  <c r="Q135"/>
  <c r="S135" s="1"/>
  <c r="T135" s="1"/>
  <c r="W721"/>
  <c r="Y721" s="1"/>
  <c r="Z721" s="1"/>
  <c r="T187"/>
  <c r="N795"/>
  <c r="Q795" s="1"/>
  <c r="N205"/>
  <c r="P205" s="1"/>
  <c r="Q205" s="1"/>
  <c r="W364"/>
  <c r="Y364" s="1"/>
  <c r="Z364" s="1"/>
  <c r="N161"/>
  <c r="P161" s="1"/>
  <c r="Q161" s="1"/>
  <c r="S161" s="1"/>
  <c r="T161" s="1"/>
  <c r="W612"/>
  <c r="Y612" s="1"/>
  <c r="Z612" s="1"/>
  <c r="W550"/>
  <c r="Y550" s="1"/>
  <c r="Z550" s="1"/>
  <c r="N199"/>
  <c r="Q686"/>
  <c r="T686" s="1"/>
  <c r="Z537"/>
  <c r="T155"/>
  <c r="V155" s="1"/>
  <c r="W155" s="1"/>
  <c r="W735"/>
  <c r="Y735" s="1"/>
  <c r="Z735" s="1"/>
  <c r="W588"/>
  <c r="W730"/>
  <c r="Q88"/>
  <c r="S88" s="1"/>
  <c r="T88" s="1"/>
  <c r="N160"/>
  <c r="P160" s="1"/>
  <c r="Q160" s="1"/>
  <c r="N59"/>
  <c r="P59" s="1"/>
  <c r="Q59" s="1"/>
  <c r="AF235"/>
  <c r="Q67"/>
  <c r="N62"/>
  <c r="P62" s="1"/>
  <c r="Q62" s="1"/>
  <c r="AF820"/>
  <c r="N97"/>
  <c r="P97" s="1"/>
  <c r="Q97" s="1"/>
  <c r="W603"/>
  <c r="AE136" i="3"/>
  <c r="AF136" s="1"/>
  <c r="T859" i="4"/>
  <c r="Y380"/>
  <c r="Z380" s="1"/>
  <c r="AB380" s="1"/>
  <c r="AC380" s="1"/>
  <c r="Y716"/>
  <c r="Z716" s="1"/>
  <c r="AB716" s="1"/>
  <c r="AC716" s="1"/>
  <c r="Y659"/>
  <c r="Z659" s="1"/>
  <c r="AB659" s="1"/>
  <c r="AC659" s="1"/>
  <c r="AE659" s="1"/>
  <c r="AF659" s="1"/>
  <c r="Y733"/>
  <c r="Z733" s="1"/>
  <c r="AA733" s="1"/>
  <c r="AB733" s="1"/>
  <c r="AC733" s="1"/>
  <c r="P195"/>
  <c r="Q195" s="1"/>
  <c r="S195" s="1"/>
  <c r="T195" s="1"/>
  <c r="V636"/>
  <c r="W636" s="1"/>
  <c r="P281"/>
  <c r="Q281" s="1"/>
  <c r="Y502"/>
  <c r="Z502" s="1"/>
  <c r="AB502" s="1"/>
  <c r="AC502" s="1"/>
  <c r="AE502" s="1"/>
  <c r="AF502" s="1"/>
  <c r="T861"/>
  <c r="V861" s="1"/>
  <c r="W861" s="1"/>
  <c r="V860"/>
  <c r="W860" s="1"/>
  <c r="Y860" s="1"/>
  <c r="Z860" s="1"/>
  <c r="V55"/>
  <c r="W55" s="1"/>
  <c r="Y461"/>
  <c r="Z461" s="1"/>
  <c r="S79"/>
  <c r="T79" s="1"/>
  <c r="V16"/>
  <c r="W16" s="1"/>
  <c r="Y497"/>
  <c r="Z497" s="1"/>
  <c r="P174"/>
  <c r="Q174" s="1"/>
  <c r="AE317"/>
  <c r="AF317" s="1"/>
  <c r="Y518"/>
  <c r="Z518" s="1"/>
  <c r="Y368"/>
  <c r="Z368" s="1"/>
  <c r="Y569"/>
  <c r="Z569" s="1"/>
  <c r="Y784"/>
  <c r="Z784" s="1"/>
  <c r="Y560"/>
  <c r="Z560" s="1"/>
  <c r="P143"/>
  <c r="Q143" s="1"/>
  <c r="P75"/>
  <c r="Q75" s="1"/>
  <c r="P146"/>
  <c r="Q146" s="1"/>
  <c r="Y565"/>
  <c r="Z565" s="1"/>
  <c r="S179"/>
  <c r="T179" s="1"/>
  <c r="V656"/>
  <c r="W656" s="1"/>
  <c r="Y430"/>
  <c r="Z430" s="1"/>
  <c r="P117"/>
  <c r="Q117" s="1"/>
  <c r="Y450"/>
  <c r="Z450" s="1"/>
  <c r="S172"/>
  <c r="T172" s="1"/>
  <c r="V90"/>
  <c r="W90" s="1"/>
  <c r="Y449"/>
  <c r="Z449" s="1"/>
  <c r="Y524"/>
  <c r="Z524" s="1"/>
  <c r="P65"/>
  <c r="Q65" s="1"/>
  <c r="Y477"/>
  <c r="Z477" s="1"/>
  <c r="Y606"/>
  <c r="Z606" s="1"/>
  <c r="V229"/>
  <c r="W229" s="1"/>
  <c r="Y683"/>
  <c r="Z683" s="1"/>
  <c r="S188"/>
  <c r="T188" s="1"/>
  <c r="AB572"/>
  <c r="AC572" s="1"/>
  <c r="P121"/>
  <c r="Q121" s="1"/>
  <c r="S120"/>
  <c r="T120" s="1"/>
  <c r="S762"/>
  <c r="T762" s="1"/>
  <c r="Y417"/>
  <c r="Z417" s="1"/>
  <c r="V785"/>
  <c r="W785" s="1"/>
  <c r="Y596"/>
  <c r="Z596" s="1"/>
  <c r="Y765"/>
  <c r="Z765" s="1"/>
  <c r="S321"/>
  <c r="T321" s="1"/>
  <c r="V266"/>
  <c r="W266" s="1"/>
  <c r="AB310"/>
  <c r="AC310" s="1"/>
  <c r="H571"/>
  <c r="S147"/>
  <c r="T147" s="1"/>
  <c r="P95"/>
  <c r="Q95" s="1"/>
  <c r="Y751"/>
  <c r="Z751" s="1"/>
  <c r="AB307"/>
  <c r="AC307" s="1"/>
  <c r="S643"/>
  <c r="T643" s="1"/>
  <c r="Y94"/>
  <c r="Z94" s="1"/>
  <c r="Y644"/>
  <c r="Z644" s="1"/>
  <c r="AE854"/>
  <c r="AF854" s="1"/>
  <c r="AA388"/>
  <c r="AB388" s="1"/>
  <c r="AC388" s="1"/>
  <c r="Y513"/>
  <c r="Z513" s="1"/>
  <c r="Y301"/>
  <c r="Z301" s="1"/>
  <c r="Y641"/>
  <c r="Z641" s="1"/>
  <c r="S249"/>
  <c r="T249" s="1"/>
  <c r="Y433"/>
  <c r="Z433" s="1"/>
  <c r="Y512"/>
  <c r="Z512" s="1"/>
  <c r="AE793"/>
  <c r="AF793" s="1"/>
  <c r="Y447"/>
  <c r="Z447" s="1"/>
  <c r="Y413"/>
  <c r="Z413" s="1"/>
  <c r="Y608"/>
  <c r="Z608" s="1"/>
  <c r="Y562"/>
  <c r="Z562" s="1"/>
  <c r="S278"/>
  <c r="T278" s="1"/>
  <c r="Y405"/>
  <c r="Z405" s="1"/>
  <c r="AB836"/>
  <c r="AC836" s="1"/>
  <c r="Y808"/>
  <c r="Z808" s="1"/>
  <c r="S71"/>
  <c r="T71" s="1"/>
  <c r="Y640"/>
  <c r="Z640" s="1"/>
  <c r="V258"/>
  <c r="W258" s="1"/>
  <c r="V277"/>
  <c r="W277" s="1"/>
  <c r="Y533"/>
  <c r="Z533" s="1"/>
  <c r="Y445"/>
  <c r="Z445" s="1"/>
  <c r="Y701"/>
  <c r="Z701" s="1"/>
  <c r="S61"/>
  <c r="T61" s="1"/>
  <c r="Y792"/>
  <c r="Z792" s="1"/>
  <c r="Y446"/>
  <c r="Z446" s="1"/>
  <c r="Y584"/>
  <c r="Z584" s="1"/>
  <c r="AE41"/>
  <c r="AF41" s="1"/>
  <c r="Y542"/>
  <c r="Z542" s="1"/>
  <c r="S59"/>
  <c r="T59" s="1"/>
  <c r="Y723"/>
  <c r="Z723" s="1"/>
  <c r="AB361"/>
  <c r="AC361" s="1"/>
  <c r="Y619"/>
  <c r="Z619" s="1"/>
  <c r="V270"/>
  <c r="W270" s="1"/>
  <c r="AB621"/>
  <c r="AC621" s="1"/>
  <c r="AE807"/>
  <c r="S243"/>
  <c r="T243" s="1"/>
  <c r="Y393"/>
  <c r="Z393" s="1"/>
  <c r="P213"/>
  <c r="Q213" s="1"/>
  <c r="Y483"/>
  <c r="Z483" s="1"/>
  <c r="S189"/>
  <c r="T189" s="1"/>
  <c r="P153"/>
  <c r="Q153" s="1"/>
  <c r="Y651"/>
  <c r="Z651" s="1"/>
  <c r="AB319"/>
  <c r="AC319" s="1"/>
  <c r="AB356"/>
  <c r="AC356" s="1"/>
  <c r="Y617"/>
  <c r="Z617" s="1"/>
  <c r="V265"/>
  <c r="W265" s="1"/>
  <c r="Y695"/>
  <c r="Z695" s="1"/>
  <c r="AE849"/>
  <c r="AF849" s="1"/>
  <c r="AB316"/>
  <c r="AC316" s="1"/>
  <c r="Y744"/>
  <c r="Z744" s="1"/>
  <c r="P4"/>
  <c r="Q4" s="1"/>
  <c r="S152"/>
  <c r="T152" s="1"/>
  <c r="Y355"/>
  <c r="Z355" s="1"/>
  <c r="S192"/>
  <c r="T192" s="1"/>
  <c r="Y853"/>
  <c r="Z853" s="1"/>
  <c r="Y460"/>
  <c r="Z460" s="1"/>
  <c r="S51"/>
  <c r="T51" s="1"/>
  <c r="Y392"/>
  <c r="Z392" s="1"/>
  <c r="P208"/>
  <c r="Q208" s="1"/>
  <c r="Y817"/>
  <c r="Z817" s="1"/>
  <c r="Y710"/>
  <c r="Z710" s="1"/>
  <c r="Y589"/>
  <c r="Z589" s="1"/>
  <c r="Y551"/>
  <c r="Z551" s="1"/>
  <c r="S144"/>
  <c r="T144" s="1"/>
  <c r="AE344"/>
  <c r="AF344" s="1"/>
  <c r="Y734"/>
  <c r="Z734" s="1"/>
  <c r="V43"/>
  <c r="W43" s="1"/>
  <c r="Y630"/>
  <c r="Z630" s="1"/>
  <c r="AB305"/>
  <c r="AC305" s="1"/>
  <c r="P227"/>
  <c r="Q227" s="1"/>
  <c r="S177"/>
  <c r="T177" s="1"/>
  <c r="Y384"/>
  <c r="Z384" s="1"/>
  <c r="S138"/>
  <c r="T138" s="1"/>
  <c r="S26"/>
  <c r="T26" s="1"/>
  <c r="AB296"/>
  <c r="AC296" s="1"/>
  <c r="V105"/>
  <c r="W105" s="1"/>
  <c r="Y471"/>
  <c r="Z471" s="1"/>
  <c r="Y626"/>
  <c r="Z626" s="1"/>
  <c r="S39"/>
  <c r="T39" s="1"/>
  <c r="Y601"/>
  <c r="Z601" s="1"/>
  <c r="Y507"/>
  <c r="Z507" s="1"/>
  <c r="S164"/>
  <c r="T164" s="1"/>
  <c r="Y665"/>
  <c r="Z665" s="1"/>
  <c r="Y214"/>
  <c r="Z214" s="1"/>
  <c r="Y698"/>
  <c r="Z698" s="1"/>
  <c r="S21"/>
  <c r="T21" s="1"/>
  <c r="Y503"/>
  <c r="Z503" s="1"/>
  <c r="AB288"/>
  <c r="AC288" s="1"/>
  <c r="Y500"/>
  <c r="Z500" s="1"/>
  <c r="Y618"/>
  <c r="Z618" s="1"/>
  <c r="S231"/>
  <c r="T231" s="1"/>
  <c r="Y653"/>
  <c r="Z653" s="1"/>
  <c r="AB805"/>
  <c r="AC805" s="1"/>
  <c r="AC806" s="1"/>
  <c r="O8" i="2" s="1"/>
  <c r="Y720" i="4"/>
  <c r="Z720" s="1"/>
  <c r="S15"/>
  <c r="T15" s="1"/>
  <c r="P225"/>
  <c r="Q225" s="1"/>
  <c r="Y259"/>
  <c r="Z259" s="1"/>
  <c r="V176"/>
  <c r="W176" s="1"/>
  <c r="P250"/>
  <c r="Q250" s="1"/>
  <c r="Y410"/>
  <c r="Z410" s="1"/>
  <c r="AB306"/>
  <c r="AC306" s="1"/>
  <c r="Y708"/>
  <c r="Z708" s="1"/>
  <c r="V387"/>
  <c r="W387" s="1"/>
  <c r="V68"/>
  <c r="W68" s="1"/>
  <c r="Y577"/>
  <c r="Z577" s="1"/>
  <c r="Y472"/>
  <c r="Z472" s="1"/>
  <c r="Y429"/>
  <c r="Z429" s="1"/>
  <c r="P108"/>
  <c r="Q108" s="1"/>
  <c r="Y694"/>
  <c r="Z694" s="1"/>
  <c r="Y386"/>
  <c r="Z386" s="1"/>
  <c r="Y547"/>
  <c r="Z547" s="1"/>
  <c r="Y469"/>
  <c r="Z469" s="1"/>
  <c r="S168"/>
  <c r="T168" s="1"/>
  <c r="AE382"/>
  <c r="AF382" s="1"/>
  <c r="V219"/>
  <c r="W219" s="1"/>
  <c r="S134"/>
  <c r="T134" s="1"/>
  <c r="Y602"/>
  <c r="Z602" s="1"/>
  <c r="S89"/>
  <c r="T89" s="1"/>
  <c r="Y83"/>
  <c r="Z83" s="1"/>
  <c r="S272"/>
  <c r="T272" s="1"/>
  <c r="Y724"/>
  <c r="Z724" s="1"/>
  <c r="Y541"/>
  <c r="Z541" s="1"/>
  <c r="AB520"/>
  <c r="AC520" s="1"/>
  <c r="Y357"/>
  <c r="Z357" s="1"/>
  <c r="Y747"/>
  <c r="Z747" s="1"/>
  <c r="S267"/>
  <c r="T267" s="1"/>
  <c r="Y649"/>
  <c r="Z649" s="1"/>
  <c r="Y354"/>
  <c r="Z354" s="1"/>
  <c r="Y478"/>
  <c r="Z478" s="1"/>
  <c r="Y706"/>
  <c r="Z706" s="1"/>
  <c r="V328"/>
  <c r="W328" s="1"/>
  <c r="Y298"/>
  <c r="Z298" s="1"/>
  <c r="S200"/>
  <c r="T200" s="1"/>
  <c r="AB23"/>
  <c r="AC23" s="1"/>
  <c r="Y383"/>
  <c r="Z383" s="1"/>
  <c r="Y585"/>
  <c r="Z585" s="1"/>
  <c r="Y798"/>
  <c r="Z798" s="1"/>
  <c r="Y444"/>
  <c r="Z444" s="1"/>
  <c r="Y822"/>
  <c r="Z822" s="1"/>
  <c r="Y401"/>
  <c r="Z401" s="1"/>
  <c r="AB377"/>
  <c r="AC377" s="1"/>
  <c r="Y252"/>
  <c r="Z252" s="1"/>
  <c r="Y484"/>
  <c r="Z484" s="1"/>
  <c r="AE197"/>
  <c r="AF197" s="1"/>
  <c r="AE291"/>
  <c r="AF291" s="1"/>
  <c r="S35"/>
  <c r="T35" s="1"/>
  <c r="Y332"/>
  <c r="Z332" s="1"/>
  <c r="V33"/>
  <c r="W33" s="1"/>
  <c r="Y685"/>
  <c r="Z685" s="1"/>
  <c r="Y681"/>
  <c r="Z681" s="1"/>
  <c r="U557"/>
  <c r="V557" s="1"/>
  <c r="W557" s="1"/>
  <c r="V54"/>
  <c r="W54" s="1"/>
  <c r="U581"/>
  <c r="V581" s="1"/>
  <c r="W581" s="1"/>
  <c r="P2"/>
  <c r="Y598"/>
  <c r="Z598" s="1"/>
  <c r="Y615"/>
  <c r="Z615" s="1"/>
  <c r="V77"/>
  <c r="W77" s="1"/>
  <c r="AB645"/>
  <c r="AC645" s="1"/>
  <c r="U614"/>
  <c r="V614" s="1"/>
  <c r="W614" s="1"/>
  <c r="M119"/>
  <c r="N119" s="1"/>
  <c r="P737"/>
  <c r="Q737" s="1"/>
  <c r="S72"/>
  <c r="T72" s="1"/>
  <c r="U579"/>
  <c r="V579" s="1"/>
  <c r="W579" s="1"/>
  <c r="U476"/>
  <c r="V476" s="1"/>
  <c r="W476" s="1"/>
  <c r="M206"/>
  <c r="N206" s="1"/>
  <c r="U611"/>
  <c r="M789"/>
  <c r="N789" s="1"/>
  <c r="Q789" s="1"/>
  <c r="V45"/>
  <c r="W45" s="1"/>
  <c r="P111"/>
  <c r="Q111" s="1"/>
  <c r="Y257"/>
  <c r="Z257" s="1"/>
  <c r="Y787"/>
  <c r="Z787" s="1"/>
  <c r="AE261"/>
  <c r="AF261" s="1"/>
  <c r="S190"/>
  <c r="T190" s="1"/>
  <c r="AE682"/>
  <c r="AF682" s="1"/>
  <c r="S122"/>
  <c r="T122" s="1"/>
  <c r="AE49"/>
  <c r="Y479"/>
  <c r="Z479" s="1"/>
  <c r="U783"/>
  <c r="V783" s="1"/>
  <c r="W783" s="1"/>
  <c r="P175"/>
  <c r="Q175" s="1"/>
  <c r="Y367"/>
  <c r="Z367" s="1"/>
  <c r="Y526"/>
  <c r="Z526" s="1"/>
  <c r="Y346"/>
  <c r="Z346" s="1"/>
  <c r="Y456"/>
  <c r="Z456" s="1"/>
  <c r="P110"/>
  <c r="AB774"/>
  <c r="AC774" s="1"/>
  <c r="AE474"/>
  <c r="AF474" s="1"/>
  <c r="P204"/>
  <c r="Q204" s="1"/>
  <c r="Y631"/>
  <c r="Z631" s="1"/>
  <c r="AF376"/>
  <c r="S116"/>
  <c r="T116" s="1"/>
  <c r="Y772"/>
  <c r="Z772" s="1"/>
  <c r="V634"/>
  <c r="W634" s="1"/>
  <c r="U799"/>
  <c r="V799" s="1"/>
  <c r="W799" s="1"/>
  <c r="M66"/>
  <c r="N350"/>
  <c r="M73"/>
  <c r="N73" s="1"/>
  <c r="M222"/>
  <c r="N222" s="1"/>
  <c r="V221"/>
  <c r="W221" s="1"/>
  <c r="Y341"/>
  <c r="Z341" s="1"/>
  <c r="Y667"/>
  <c r="Z667" s="1"/>
  <c r="Y675"/>
  <c r="Z675" s="1"/>
  <c r="M46"/>
  <c r="N46" s="1"/>
  <c r="AB732"/>
  <c r="AC732" s="1"/>
  <c r="Y563"/>
  <c r="Z563" s="1"/>
  <c r="Y705"/>
  <c r="Z705" s="1"/>
  <c r="Y407"/>
  <c r="Z407" s="1"/>
  <c r="U448"/>
  <c r="V448" s="1"/>
  <c r="W448" s="1"/>
  <c r="P171"/>
  <c r="Q171" s="1"/>
  <c r="Y628"/>
  <c r="Z628" s="1"/>
  <c r="V276"/>
  <c r="W276" s="1"/>
  <c r="V343"/>
  <c r="W343" s="1"/>
  <c r="Y553"/>
  <c r="Z553" s="1"/>
  <c r="Y451"/>
  <c r="Z451" s="1"/>
  <c r="Y548"/>
  <c r="Z548" s="1"/>
  <c r="Y704"/>
  <c r="Z704" s="1"/>
  <c r="Y428"/>
  <c r="Z428" s="1"/>
  <c r="M133"/>
  <c r="N133" s="1"/>
  <c r="Y427"/>
  <c r="Z427" s="1"/>
  <c r="Y470"/>
  <c r="Z470" s="1"/>
  <c r="Y692"/>
  <c r="Z692" s="1"/>
  <c r="N24"/>
  <c r="M103"/>
  <c r="U582"/>
  <c r="V582" s="1"/>
  <c r="W582" s="1"/>
  <c r="AE234"/>
  <c r="AF234" s="1"/>
  <c r="U399"/>
  <c r="V399" s="1"/>
  <c r="W399" s="1"/>
  <c r="M85"/>
  <c r="N85" s="1"/>
  <c r="Y627"/>
  <c r="Z627" s="1"/>
  <c r="V381"/>
  <c r="W381" s="1"/>
  <c r="Y509"/>
  <c r="Z509" s="1"/>
  <c r="P166"/>
  <c r="Q166" s="1"/>
  <c r="Y336"/>
  <c r="Z336" s="1"/>
  <c r="S101"/>
  <c r="T101" s="1"/>
  <c r="Y809"/>
  <c r="Z809" s="1"/>
  <c r="U504"/>
  <c r="V504" s="1"/>
  <c r="W504" s="1"/>
  <c r="U501"/>
  <c r="V501" s="1"/>
  <c r="W501" s="1"/>
  <c r="Y561"/>
  <c r="Z561" s="1"/>
  <c r="M863"/>
  <c r="U394"/>
  <c r="P163"/>
  <c r="Q163" s="1"/>
  <c r="Y696"/>
  <c r="Z696" s="1"/>
  <c r="Y441"/>
  <c r="Z441" s="1"/>
  <c r="Y438"/>
  <c r="Z438" s="1"/>
  <c r="AB537"/>
  <c r="AC537" s="1"/>
  <c r="Y420"/>
  <c r="Z420" s="1"/>
  <c r="Q268"/>
  <c r="P57"/>
  <c r="Q57" s="1"/>
  <c r="M193"/>
  <c r="N193" s="1"/>
  <c r="M81"/>
  <c r="N81" s="1"/>
  <c r="AE358"/>
  <c r="AF358" s="1"/>
  <c r="AC684"/>
  <c r="AC599"/>
  <c r="AF74"/>
  <c r="N167"/>
  <c r="Z690"/>
  <c r="S158"/>
  <c r="T158" s="1"/>
  <c r="P314"/>
  <c r="Q314" s="1"/>
  <c r="P76"/>
  <c r="Q76" s="1"/>
  <c r="S50"/>
  <c r="T50" s="1"/>
  <c r="U414"/>
  <c r="V414" s="1"/>
  <c r="W414" s="1"/>
  <c r="P286"/>
  <c r="Q286" s="1"/>
  <c r="M112"/>
  <c r="N112" s="1"/>
  <c r="P31"/>
  <c r="Q31" s="1"/>
  <c r="U532"/>
  <c r="V532" s="1"/>
  <c r="W532" s="1"/>
  <c r="U366"/>
  <c r="V366" s="1"/>
  <c r="W366" s="1"/>
  <c r="M115"/>
  <c r="N115" s="1"/>
  <c r="P180"/>
  <c r="Q180" s="1"/>
  <c r="S29"/>
  <c r="Y672"/>
  <c r="Z672" s="1"/>
  <c r="Y527"/>
  <c r="Z527" s="1"/>
  <c r="Y262"/>
  <c r="Z262" s="1"/>
  <c r="P284"/>
  <c r="Q284" s="1"/>
  <c r="U593"/>
  <c r="V593" s="1"/>
  <c r="W593" s="1"/>
  <c r="V390"/>
  <c r="W390" s="1"/>
  <c r="P114"/>
  <c r="Q114" s="1"/>
  <c r="AB304"/>
  <c r="AC304" s="1"/>
  <c r="Y473"/>
  <c r="Z473" s="1"/>
  <c r="S752"/>
  <c r="T752" s="1"/>
  <c r="T327"/>
  <c r="AE220"/>
  <c r="AF220" s="1"/>
  <c r="Y605"/>
  <c r="Z605" s="1"/>
  <c r="P156"/>
  <c r="Q156" s="1"/>
  <c r="V210"/>
  <c r="W210" s="1"/>
  <c r="Y741"/>
  <c r="Z741" s="1"/>
  <c r="P185"/>
  <c r="Q185" s="1"/>
  <c r="V17"/>
  <c r="W17" s="1"/>
  <c r="U517"/>
  <c r="Y717"/>
  <c r="Z717" s="1"/>
  <c r="AB312"/>
  <c r="AC312" s="1"/>
  <c r="V679"/>
  <c r="W679" s="1"/>
  <c r="U714"/>
  <c r="V714" s="1"/>
  <c r="W714" s="1"/>
  <c r="U415"/>
  <c r="V415" s="1"/>
  <c r="W415" s="1"/>
  <c r="U435"/>
  <c r="V435" s="1"/>
  <c r="W435" s="1"/>
  <c r="M182"/>
  <c r="N182" s="1"/>
  <c r="N18"/>
  <c r="V419"/>
  <c r="W419" s="1"/>
  <c r="P191"/>
  <c r="Q191" s="1"/>
  <c r="M19"/>
  <c r="N19" s="1"/>
  <c r="U462"/>
  <c r="V434"/>
  <c r="W434" s="1"/>
  <c r="V481"/>
  <c r="W481" s="1"/>
  <c r="P209"/>
  <c r="Q209" s="1"/>
  <c r="V187"/>
  <c r="W187" s="1"/>
  <c r="Y558"/>
  <c r="Z558" s="1"/>
  <c r="AB318"/>
  <c r="AC318" s="1"/>
  <c r="S154"/>
  <c r="T154" s="1"/>
  <c r="S658"/>
  <c r="T658" s="1"/>
  <c r="U528"/>
  <c r="V528" s="1"/>
  <c r="W528" s="1"/>
  <c r="P322"/>
  <c r="Q322" s="1"/>
  <c r="V463"/>
  <c r="W463" s="1"/>
  <c r="V680"/>
  <c r="W680" s="1"/>
  <c r="U516"/>
  <c r="V516" s="1"/>
  <c r="W516" s="1"/>
  <c r="U353"/>
  <c r="M183"/>
  <c r="N183" s="1"/>
  <c r="Y719"/>
  <c r="Z719" s="1"/>
  <c r="U739"/>
  <c r="V739" s="1"/>
  <c r="W739" s="1"/>
  <c r="U457"/>
  <c r="V457" s="1"/>
  <c r="W457" s="1"/>
  <c r="M151"/>
  <c r="P212"/>
  <c r="Q212" s="1"/>
  <c r="AE48"/>
  <c r="AF48" s="1"/>
  <c r="Y740"/>
  <c r="Z740" s="1"/>
  <c r="Y738"/>
  <c r="Z738" s="1"/>
  <c r="Y303"/>
  <c r="Z303" s="1"/>
  <c r="Y564"/>
  <c r="Z564" s="1"/>
  <c r="Y637"/>
  <c r="Z637" s="1"/>
  <c r="Y452"/>
  <c r="Z452" s="1"/>
  <c r="Y409"/>
  <c r="Z409" s="1"/>
  <c r="U455"/>
  <c r="V638"/>
  <c r="W638" s="1"/>
  <c r="U590"/>
  <c r="V590" s="1"/>
  <c r="W590" s="1"/>
  <c r="U552"/>
  <c r="V552" s="1"/>
  <c r="W552" s="1"/>
  <c r="U525"/>
  <c r="V525" s="1"/>
  <c r="W525" s="1"/>
  <c r="U495"/>
  <c r="V495" s="1"/>
  <c r="W495" s="1"/>
  <c r="U453"/>
  <c r="V453" s="1"/>
  <c r="W453" s="1"/>
  <c r="U389"/>
  <c r="V389" s="1"/>
  <c r="W389" s="1"/>
  <c r="U349"/>
  <c r="P93"/>
  <c r="Q93" s="1"/>
  <c r="AB308"/>
  <c r="AC308" s="1"/>
  <c r="M148"/>
  <c r="N148" s="1"/>
  <c r="V511"/>
  <c r="W511" s="1"/>
  <c r="S141"/>
  <c r="T141" s="1"/>
  <c r="AB300"/>
  <c r="AC300" s="1"/>
  <c r="U773"/>
  <c r="V773" s="1"/>
  <c r="W773" s="1"/>
  <c r="U639"/>
  <c r="V639" s="1"/>
  <c r="W639" s="1"/>
  <c r="Y588"/>
  <c r="Z588" s="1"/>
  <c r="Y730"/>
  <c r="Z730" s="1"/>
  <c r="Y729"/>
  <c r="Z729" s="1"/>
  <c r="U802"/>
  <c r="V802" s="1"/>
  <c r="W802" s="1"/>
  <c r="U580"/>
  <c r="V580" s="1"/>
  <c r="W580" s="1"/>
  <c r="M13"/>
  <c r="N13" s="1"/>
  <c r="U731"/>
  <c r="V731" s="1"/>
  <c r="W731" s="1"/>
  <c r="V345"/>
  <c r="W345" s="1"/>
  <c r="V607"/>
  <c r="W607" s="1"/>
  <c r="Y523"/>
  <c r="Z523" s="1"/>
  <c r="Y603"/>
  <c r="Z603" s="1"/>
  <c r="Y766"/>
  <c r="Z766" s="1"/>
  <c r="U788"/>
  <c r="V788" s="1"/>
  <c r="W788" s="1"/>
  <c r="S10"/>
  <c r="T10" s="1"/>
  <c r="AE629"/>
  <c r="AF629" s="1"/>
  <c r="Y727"/>
  <c r="Z727" s="1"/>
  <c r="Y404"/>
  <c r="Z404" s="1"/>
  <c r="Y568"/>
  <c r="Z568" s="1"/>
  <c r="Y777"/>
  <c r="Z777" s="1"/>
  <c r="M142"/>
  <c r="N142" s="1"/>
  <c r="S11"/>
  <c r="U728"/>
  <c r="V728" s="1"/>
  <c r="W728" s="1"/>
  <c r="Y625"/>
  <c r="Z625" s="1"/>
  <c r="Y764"/>
  <c r="Z764" s="1"/>
  <c r="AE244"/>
  <c r="AF244" s="1"/>
  <c r="AE379"/>
  <c r="AF379" s="1"/>
  <c r="U424"/>
  <c r="V424" s="1"/>
  <c r="W424" s="1"/>
  <c r="P22"/>
  <c r="Q22" s="1"/>
  <c r="Y856"/>
  <c r="Z856" s="1"/>
  <c r="P755"/>
  <c r="M218"/>
  <c r="Y443"/>
  <c r="Z443" s="1"/>
  <c r="AE198"/>
  <c r="AF198" s="1"/>
  <c r="M102"/>
  <c r="N102" s="1"/>
  <c r="M196"/>
  <c r="N196" s="1"/>
  <c r="U539"/>
  <c r="V539" s="1"/>
  <c r="W539" s="1"/>
  <c r="U519"/>
  <c r="V519" s="1"/>
  <c r="W519" s="1"/>
  <c r="V758"/>
  <c r="W758" s="1"/>
  <c r="P274"/>
  <c r="Q274" s="1"/>
  <c r="Y722"/>
  <c r="Z722" s="1"/>
  <c r="N372"/>
  <c r="M7"/>
  <c r="AD855"/>
  <c r="AD862" s="1"/>
  <c r="AB290"/>
  <c r="AC290" s="1"/>
  <c r="U505"/>
  <c r="V505" s="1"/>
  <c r="W505" s="1"/>
  <c r="U378"/>
  <c r="U538"/>
  <c r="V538" s="1"/>
  <c r="W538" s="1"/>
  <c r="N5"/>
  <c r="M132"/>
  <c r="N132" s="1"/>
  <c r="P233"/>
  <c r="Q233" s="1"/>
  <c r="P131"/>
  <c r="Q131" s="1"/>
  <c r="U566"/>
  <c r="V566" s="1"/>
  <c r="W566" s="1"/>
  <c r="V333"/>
  <c r="W333" s="1"/>
  <c r="Y466"/>
  <c r="Z466" s="1"/>
  <c r="S241"/>
  <c r="T241" s="1"/>
  <c r="K571"/>
  <c r="N69"/>
  <c r="J571"/>
  <c r="Z323"/>
  <c r="W359"/>
  <c r="Q6"/>
  <c r="V749"/>
  <c r="W749" s="1"/>
  <c r="P230"/>
  <c r="Q230" s="1"/>
  <c r="P127"/>
  <c r="Q127" s="1"/>
  <c r="Y575"/>
  <c r="Z575" s="1"/>
  <c r="V157"/>
  <c r="W157" s="1"/>
  <c r="Y616"/>
  <c r="Z616" s="1"/>
  <c r="U753"/>
  <c r="V753" s="1"/>
  <c r="W753" s="1"/>
  <c r="V432"/>
  <c r="W432" s="1"/>
  <c r="Y718"/>
  <c r="Z718" s="1"/>
  <c r="Y648"/>
  <c r="Z648" s="1"/>
  <c r="U458"/>
  <c r="V458" s="1"/>
  <c r="W458" s="1"/>
  <c r="Y646"/>
  <c r="Z646" s="1"/>
  <c r="U352"/>
  <c r="Y800"/>
  <c r="Z800" s="1"/>
  <c r="M240"/>
  <c r="N240" s="1"/>
  <c r="U610"/>
  <c r="V610" s="1"/>
  <c r="W610" s="1"/>
  <c r="U411"/>
  <c r="V411" s="1"/>
  <c r="W411" s="1"/>
  <c r="Y299"/>
  <c r="Z299" s="1"/>
  <c r="Y736"/>
  <c r="Z736" s="1"/>
  <c r="Y92"/>
  <c r="Z92" s="1"/>
  <c r="U676"/>
  <c r="V676" s="1"/>
  <c r="W676" s="1"/>
  <c r="P70"/>
  <c r="Q70" s="1"/>
  <c r="Y587"/>
  <c r="Z587" s="1"/>
  <c r="S107"/>
  <c r="T107" s="1"/>
  <c r="Y583"/>
  <c r="Z583" s="1"/>
  <c r="Y711"/>
  <c r="P283"/>
  <c r="Q283" s="1"/>
  <c r="M248"/>
  <c r="N248" s="1"/>
  <c r="AB842"/>
  <c r="AC842" s="1"/>
  <c r="M159"/>
  <c r="N159" s="1"/>
  <c r="S34"/>
  <c r="T34" s="1"/>
  <c r="V331"/>
  <c r="W331" s="1"/>
  <c r="M559"/>
  <c r="N559" s="1"/>
  <c r="Q559" s="1"/>
  <c r="T559" s="1"/>
  <c r="U480"/>
  <c r="V480" s="1"/>
  <c r="W480" s="1"/>
  <c r="S748"/>
  <c r="T748" s="1"/>
  <c r="M211"/>
  <c r="N211" s="1"/>
  <c r="M80"/>
  <c r="N80" s="1"/>
  <c r="S123"/>
  <c r="T123" s="1"/>
  <c r="M3"/>
  <c r="N3" s="1"/>
  <c r="U647"/>
  <c r="V647" s="1"/>
  <c r="W647" s="1"/>
  <c r="M228"/>
  <c r="N228" s="1"/>
  <c r="V263"/>
  <c r="W263" s="1"/>
  <c r="S186"/>
  <c r="T186" s="1"/>
  <c r="P763"/>
  <c r="Q763" s="1"/>
  <c r="U534"/>
  <c r="V534" s="1"/>
  <c r="W534" s="1"/>
  <c r="V416"/>
  <c r="W416" s="1"/>
  <c r="Y482"/>
  <c r="Z482" s="1"/>
  <c r="U556"/>
  <c r="V556" s="1"/>
  <c r="W556" s="1"/>
  <c r="U431"/>
  <c r="V431" s="1"/>
  <c r="W431" s="1"/>
  <c r="U595"/>
  <c r="V595" s="1"/>
  <c r="W595" s="1"/>
  <c r="U555"/>
  <c r="V555" s="1"/>
  <c r="W555" s="1"/>
  <c r="AB311"/>
  <c r="AC311" s="1"/>
  <c r="U351"/>
  <c r="V351" s="1"/>
  <c r="W351" s="1"/>
  <c r="P96"/>
  <c r="Q96" s="1"/>
  <c r="Y713"/>
  <c r="Z713" s="1"/>
  <c r="U797"/>
  <c r="V797" s="1"/>
  <c r="W797" s="1"/>
  <c r="Y412"/>
  <c r="Z412" s="1"/>
  <c r="AB574"/>
  <c r="AC574" s="1"/>
  <c r="Y391"/>
  <c r="Z391" s="1"/>
  <c r="Y709"/>
  <c r="Z709" s="1"/>
  <c r="S795"/>
  <c r="T795" s="1"/>
  <c r="Y475"/>
  <c r="Z475" s="1"/>
  <c r="P224"/>
  <c r="Q224" s="1"/>
  <c r="P140"/>
  <c r="Q140" s="1"/>
  <c r="S47"/>
  <c r="T47" s="1"/>
  <c r="Y673"/>
  <c r="Z673" s="1"/>
  <c r="Q454"/>
  <c r="P279"/>
  <c r="Q279" s="1"/>
  <c r="P28"/>
  <c r="Q28" s="1"/>
  <c r="S247"/>
  <c r="T247" s="1"/>
  <c r="AE245"/>
  <c r="AF245" s="1"/>
  <c r="P285"/>
  <c r="AE549"/>
  <c r="AF549" s="1"/>
  <c r="P173"/>
  <c r="Q173" s="1"/>
  <c r="U703"/>
  <c r="V703" s="1"/>
  <c r="W703" s="1"/>
  <c r="P238"/>
  <c r="Q238" s="1"/>
  <c r="Y546"/>
  <c r="Z546" s="1"/>
  <c r="Y779"/>
  <c r="Z779" s="1"/>
  <c r="P223"/>
  <c r="Q223" s="1"/>
  <c r="V406"/>
  <c r="W406" s="1"/>
  <c r="Y510"/>
  <c r="Z510" s="1"/>
  <c r="M145"/>
  <c r="Y770"/>
  <c r="Z770" s="1"/>
  <c r="U781"/>
  <c r="V781" s="1"/>
  <c r="W781" s="1"/>
  <c r="Y576"/>
  <c r="Z576" s="1"/>
  <c r="M139"/>
  <c r="N139" s="1"/>
  <c r="M91"/>
  <c r="N91" s="1"/>
  <c r="U408"/>
  <c r="V408" s="1"/>
  <c r="W408" s="1"/>
  <c r="Y725"/>
  <c r="Z725" s="1"/>
  <c r="AE254"/>
  <c r="AF254" s="1"/>
  <c r="S8"/>
  <c r="T8" s="1"/>
  <c r="P199"/>
  <c r="Q199" s="1"/>
  <c r="Y670"/>
  <c r="Z670" s="1"/>
  <c r="V256"/>
  <c r="W256" s="1"/>
  <c r="Y297"/>
  <c r="Z297" s="1"/>
  <c r="Y522"/>
  <c r="Z522" s="1"/>
  <c r="V339"/>
  <c r="W339" s="1"/>
  <c r="P38"/>
  <c r="Q38" s="1"/>
  <c r="S25"/>
  <c r="T25" s="1"/>
  <c r="M60"/>
  <c r="N60" s="1"/>
  <c r="P104"/>
  <c r="AE778"/>
  <c r="AF778" s="1"/>
  <c r="M165"/>
  <c r="N165" s="1"/>
  <c r="P271"/>
  <c r="Q271" s="1"/>
  <c r="V686"/>
  <c r="W686" s="1"/>
  <c r="U439"/>
  <c r="V439" s="1"/>
  <c r="W439" s="1"/>
  <c r="V536"/>
  <c r="W536" s="1"/>
  <c r="M98"/>
  <c r="N98" s="1"/>
  <c r="Y530"/>
  <c r="Z530" s="1"/>
  <c r="V170"/>
  <c r="W170" s="1"/>
  <c r="S27"/>
  <c r="T27" s="1"/>
  <c r="V669"/>
  <c r="W669" s="1"/>
  <c r="S106"/>
  <c r="T106" s="1"/>
  <c r="Y365"/>
  <c r="Z365" s="1"/>
  <c r="T687"/>
  <c r="Y624"/>
  <c r="Z624" s="1"/>
  <c r="Y521"/>
  <c r="Z521" s="1"/>
  <c r="Y86"/>
  <c r="Z86" s="1"/>
  <c r="U622"/>
  <c r="V622" s="1"/>
  <c r="W622" s="1"/>
  <c r="Y162"/>
  <c r="Z162" s="1"/>
  <c r="AB620"/>
  <c r="AC620" s="1"/>
  <c r="AB289"/>
  <c r="AC289" s="1"/>
  <c r="V465"/>
  <c r="W465" s="1"/>
  <c r="Y130"/>
  <c r="Z130" s="1"/>
  <c r="Y535"/>
  <c r="Z535" s="1"/>
  <c r="Q396"/>
  <c r="AB819"/>
  <c r="AC819" s="1"/>
  <c r="AB395"/>
  <c r="AC395" s="1"/>
  <c r="Y99"/>
  <c r="Z99" s="1"/>
  <c r="V437"/>
  <c r="W437" s="1"/>
  <c r="AB82"/>
  <c r="AC82" s="1"/>
  <c r="M20"/>
  <c r="N20" s="1"/>
  <c r="M128"/>
  <c r="N128" s="1"/>
  <c r="AB400"/>
  <c r="AC400" s="1"/>
  <c r="Y362"/>
  <c r="Z362" s="1"/>
  <c r="AB293"/>
  <c r="AC293" s="1"/>
  <c r="N654"/>
  <c r="N126"/>
  <c r="Y668"/>
  <c r="Z668" s="1"/>
  <c r="AE776"/>
  <c r="AF776" s="1"/>
  <c r="S124"/>
  <c r="T124" s="1"/>
  <c r="M32"/>
  <c r="N32" s="1"/>
  <c r="Y464"/>
  <c r="Z464" s="1"/>
  <c r="Y597"/>
  <c r="Z597" s="1"/>
  <c r="V125"/>
  <c r="W125" s="1"/>
  <c r="Y743"/>
  <c r="Z743" s="1"/>
  <c r="S78"/>
  <c r="T78" s="1"/>
  <c r="AE315"/>
  <c r="AF315" s="1"/>
  <c r="S287"/>
  <c r="T287" s="1"/>
  <c r="Y715"/>
  <c r="Z715" s="1"/>
  <c r="S184"/>
  <c r="T184" s="1"/>
  <c r="AB757"/>
  <c r="AC757" s="1"/>
  <c r="Y459"/>
  <c r="Z459" s="1"/>
  <c r="AE313"/>
  <c r="AF313" s="1"/>
  <c r="P150"/>
  <c r="Q150" s="1"/>
  <c r="P178"/>
  <c r="Q178" s="1"/>
  <c r="Y515"/>
  <c r="Z515" s="1"/>
  <c r="S113"/>
  <c r="T113" s="1"/>
  <c r="Y760"/>
  <c r="Z760" s="1"/>
  <c r="Y554"/>
  <c r="Z554" s="1"/>
  <c r="V677"/>
  <c r="W677" s="1"/>
  <c r="V591"/>
  <c r="W591" s="1"/>
  <c r="U514"/>
  <c r="V514" s="1"/>
  <c r="W514" s="1"/>
  <c r="P239"/>
  <c r="Q239" s="1"/>
  <c r="V348"/>
  <c r="W348" s="1"/>
  <c r="AB803"/>
  <c r="AC803" s="1"/>
  <c r="V790"/>
  <c r="W790" s="1"/>
  <c r="Y707"/>
  <c r="Z707" s="1"/>
  <c r="AB570"/>
  <c r="AC570" s="1"/>
  <c r="S136"/>
  <c r="T136" s="1"/>
  <c r="S40"/>
  <c r="T40" s="1"/>
  <c r="Y529"/>
  <c r="Z529" s="1"/>
  <c r="AE236"/>
  <c r="AF236" s="1"/>
  <c r="U782"/>
  <c r="V782" s="1"/>
  <c r="W782" s="1"/>
  <c r="U586"/>
  <c r="V586" s="1"/>
  <c r="W586" s="1"/>
  <c r="Y375"/>
  <c r="Z375" s="1"/>
  <c r="Y657"/>
  <c r="Z657" s="1"/>
  <c r="P14"/>
  <c r="Y347"/>
  <c r="Z347" s="1"/>
  <c r="S280"/>
  <c r="T280" s="1"/>
  <c r="V385"/>
  <c r="W385" s="1"/>
  <c r="S44"/>
  <c r="T44" s="1"/>
  <c r="P203"/>
  <c r="Q203" s="1"/>
  <c r="S237"/>
  <c r="T237" s="1"/>
  <c r="T604"/>
  <c r="S202"/>
  <c r="T202" s="1"/>
  <c r="V137"/>
  <c r="W137" s="1"/>
  <c r="Y402"/>
  <c r="Z402" s="1"/>
  <c r="AB340"/>
  <c r="AC340" s="1"/>
  <c r="AE246"/>
  <c r="AF246" s="1"/>
  <c r="Y442"/>
  <c r="Z442" s="1"/>
  <c r="Y544"/>
  <c r="Z544" s="1"/>
  <c r="V859"/>
  <c r="W859" s="1"/>
  <c r="S169"/>
  <c r="T169" s="1"/>
  <c r="U508"/>
  <c r="V508" s="1"/>
  <c r="W508" s="1"/>
  <c r="V63"/>
  <c r="W63" s="1"/>
  <c r="AE217"/>
  <c r="AF217" s="1"/>
  <c r="U373"/>
  <c r="V373" s="1"/>
  <c r="W373" s="1"/>
  <c r="Y702"/>
  <c r="Z702" s="1"/>
  <c r="V342"/>
  <c r="W342" s="1"/>
  <c r="U780"/>
  <c r="V780" s="1"/>
  <c r="W780" s="1"/>
  <c r="S9"/>
  <c r="Y426"/>
  <c r="Z426" s="1"/>
  <c r="Y693"/>
  <c r="Z693" s="1"/>
  <c r="Y543"/>
  <c r="Z543" s="1"/>
  <c r="Y292"/>
  <c r="Z292" s="1"/>
  <c r="M759"/>
  <c r="U664"/>
  <c r="V664" s="1"/>
  <c r="W664" s="1"/>
  <c r="U468"/>
  <c r="V468" s="1"/>
  <c r="W468" s="1"/>
  <c r="V334"/>
  <c r="W334" s="1"/>
  <c r="P129"/>
  <c r="Q129" s="1"/>
  <c r="Y726"/>
  <c r="Z726" s="1"/>
  <c r="Y567"/>
  <c r="Z567" s="1"/>
  <c r="V255"/>
  <c r="W255" s="1"/>
  <c r="Y700"/>
  <c r="Z700" s="1"/>
  <c r="Y295"/>
  <c r="Z295" s="1"/>
  <c r="P100"/>
  <c r="Q100" s="1"/>
  <c r="AE818"/>
  <c r="AF818" s="1"/>
  <c r="P746"/>
  <c r="AE688"/>
  <c r="AF688" s="1"/>
  <c r="U423"/>
  <c r="V423" s="1"/>
  <c r="W423" s="1"/>
  <c r="S215"/>
  <c r="T215" s="1"/>
  <c r="P37"/>
  <c r="Q37" s="1"/>
  <c r="Y467"/>
  <c r="Z467" s="1"/>
  <c r="V58"/>
  <c r="W58" s="1"/>
  <c r="Y697"/>
  <c r="Z697" s="1"/>
  <c r="Y573"/>
  <c r="Z573" s="1"/>
  <c r="U540"/>
  <c r="V540" s="1"/>
  <c r="W540" s="1"/>
  <c r="U398"/>
  <c r="V398" s="1"/>
  <c r="W398" s="1"/>
  <c r="U421"/>
  <c r="V421" s="1"/>
  <c r="W421" s="1"/>
  <c r="P36"/>
  <c r="Q36" s="1"/>
  <c r="Y699"/>
  <c r="Z699" s="1"/>
  <c r="M216"/>
  <c r="N216" s="1"/>
  <c r="P84"/>
  <c r="Q84" s="1"/>
  <c r="AE422"/>
  <c r="AF422" s="1"/>
  <c r="Y194"/>
  <c r="Z194" s="1"/>
  <c r="P56"/>
  <c r="Q56" s="1"/>
  <c r="V338"/>
  <c r="W338" s="1"/>
  <c r="Y506"/>
  <c r="Z506" s="1"/>
  <c r="Y440"/>
  <c r="Z440" s="1"/>
  <c r="V337"/>
  <c r="W337" s="1"/>
  <c r="U397"/>
  <c r="M661"/>
  <c r="AC674"/>
  <c r="Z655"/>
  <c r="AD221" i="3"/>
  <c r="AD144"/>
  <c r="AE135"/>
  <c r="AF135" s="1"/>
  <c r="AD125"/>
  <c r="AE125" s="1"/>
  <c r="AF125" s="1"/>
  <c r="AD853"/>
  <c r="AD856"/>
  <c r="AE198"/>
  <c r="AF198" s="1"/>
  <c r="AE132"/>
  <c r="AF132" s="1"/>
  <c r="S67" i="4" l="1"/>
  <c r="T67" s="1"/>
  <c r="V67" s="1"/>
  <c r="W67" s="1"/>
  <c r="Y67" s="1"/>
  <c r="Z67" s="1"/>
  <c r="AF807"/>
  <c r="S281"/>
  <c r="T281" s="1"/>
  <c r="U281" s="1"/>
  <c r="V281" s="1"/>
  <c r="W281" s="1"/>
  <c r="Z711"/>
  <c r="AB711" s="1"/>
  <c r="AC711" s="1"/>
  <c r="Y712"/>
  <c r="Y636"/>
  <c r="Z636" s="1"/>
  <c r="AB636" s="1"/>
  <c r="AC636" s="1"/>
  <c r="Q110"/>
  <c r="N863"/>
  <c r="Y421"/>
  <c r="Z421" s="1"/>
  <c r="Y508"/>
  <c r="Z508" s="1"/>
  <c r="S203"/>
  <c r="T203" s="1"/>
  <c r="V40"/>
  <c r="W40" s="1"/>
  <c r="Y348"/>
  <c r="Z348" s="1"/>
  <c r="V113"/>
  <c r="W113" s="1"/>
  <c r="AB743"/>
  <c r="AC743" s="1"/>
  <c r="AE293"/>
  <c r="AF293" s="1"/>
  <c r="P128"/>
  <c r="Q128" s="1"/>
  <c r="Y437"/>
  <c r="Z437" s="1"/>
  <c r="AB436"/>
  <c r="AC436" s="1"/>
  <c r="Y465"/>
  <c r="Z465" s="1"/>
  <c r="AB721"/>
  <c r="AC721" s="1"/>
  <c r="Y408"/>
  <c r="Z408" s="1"/>
  <c r="S223"/>
  <c r="T223" s="1"/>
  <c r="S140"/>
  <c r="T140" s="1"/>
  <c r="AE574"/>
  <c r="AF574" s="1"/>
  <c r="AE311"/>
  <c r="AF311" s="1"/>
  <c r="Y431"/>
  <c r="Z431" s="1"/>
  <c r="S763"/>
  <c r="T763" s="1"/>
  <c r="AB299"/>
  <c r="AC299" s="1"/>
  <c r="P240"/>
  <c r="Q240" s="1"/>
  <c r="AB648"/>
  <c r="AC648" s="1"/>
  <c r="AB506"/>
  <c r="AC506" s="1"/>
  <c r="Y423"/>
  <c r="Z423" s="1"/>
  <c r="AB295"/>
  <c r="AC295" s="1"/>
  <c r="Y664"/>
  <c r="Z664" s="1"/>
  <c r="AB702"/>
  <c r="AC702" s="1"/>
  <c r="Y63"/>
  <c r="Z63" s="1"/>
  <c r="AB544"/>
  <c r="AC544" s="1"/>
  <c r="V237"/>
  <c r="W237" s="1"/>
  <c r="AE570"/>
  <c r="AF570" s="1"/>
  <c r="AB612"/>
  <c r="AC612" s="1"/>
  <c r="S178"/>
  <c r="T178" s="1"/>
  <c r="AB459"/>
  <c r="AC459" s="1"/>
  <c r="AB715"/>
  <c r="AC715" s="1"/>
  <c r="V78"/>
  <c r="W78" s="1"/>
  <c r="AB597"/>
  <c r="AC597" s="1"/>
  <c r="AE395"/>
  <c r="AF395" s="1"/>
  <c r="AB130"/>
  <c r="AC130" s="1"/>
  <c r="V27"/>
  <c r="W27" s="1"/>
  <c r="P165"/>
  <c r="Q165" s="1"/>
  <c r="AB725"/>
  <c r="AC725" s="1"/>
  <c r="Y781"/>
  <c r="Z781" s="1"/>
  <c r="Y703"/>
  <c r="Z703" s="1"/>
  <c r="V47"/>
  <c r="W47" s="1"/>
  <c r="AB475"/>
  <c r="AC475" s="1"/>
  <c r="AB713"/>
  <c r="AC713" s="1"/>
  <c r="Y595"/>
  <c r="Z595" s="1"/>
  <c r="AB482"/>
  <c r="AC482" s="1"/>
  <c r="V559"/>
  <c r="W559" s="1"/>
  <c r="AB583"/>
  <c r="AC583" s="1"/>
  <c r="Y610"/>
  <c r="Z610" s="1"/>
  <c r="Y458"/>
  <c r="Z458" s="1"/>
  <c r="Y157"/>
  <c r="Z157" s="1"/>
  <c r="S230"/>
  <c r="T230" s="1"/>
  <c r="Y539"/>
  <c r="Z539" s="1"/>
  <c r="Y424"/>
  <c r="Z424" s="1"/>
  <c r="AB425"/>
  <c r="AC425" s="1"/>
  <c r="AB727"/>
  <c r="AC727" s="1"/>
  <c r="Y607"/>
  <c r="Z607" s="1"/>
  <c r="Y511"/>
  <c r="Z511" s="1"/>
  <c r="AB735"/>
  <c r="AC735" s="1"/>
  <c r="Y17"/>
  <c r="Z17" s="1"/>
  <c r="S56"/>
  <c r="T56" s="1"/>
  <c r="AB697"/>
  <c r="AC697" s="1"/>
  <c r="V215"/>
  <c r="W215" s="1"/>
  <c r="Y255"/>
  <c r="Z255" s="1"/>
  <c r="S129"/>
  <c r="T129" s="1"/>
  <c r="AB693"/>
  <c r="AC693" s="1"/>
  <c r="V135"/>
  <c r="W135" s="1"/>
  <c r="Y859"/>
  <c r="Z859" s="1"/>
  <c r="Y137"/>
  <c r="Z137" s="1"/>
  <c r="AB375"/>
  <c r="AC375" s="1"/>
  <c r="AB707"/>
  <c r="AC707" s="1"/>
  <c r="Y514"/>
  <c r="Z514" s="1"/>
  <c r="AB760"/>
  <c r="AC760" s="1"/>
  <c r="V184"/>
  <c r="W184" s="1"/>
  <c r="P32"/>
  <c r="Q32" s="1"/>
  <c r="AB535"/>
  <c r="AC535" s="1"/>
  <c r="AE620"/>
  <c r="Y669"/>
  <c r="Z669" s="1"/>
  <c r="AB530"/>
  <c r="AC530" s="1"/>
  <c r="Y439"/>
  <c r="Z439" s="1"/>
  <c r="Y256"/>
  <c r="Z256" s="1"/>
  <c r="S238"/>
  <c r="T238" s="1"/>
  <c r="AB673"/>
  <c r="AC673" s="1"/>
  <c r="AB709"/>
  <c r="AC709" s="1"/>
  <c r="Y797"/>
  <c r="Z797" s="1"/>
  <c r="AE716"/>
  <c r="AF716" s="1"/>
  <c r="Y647"/>
  <c r="Z647" s="1"/>
  <c r="V34"/>
  <c r="W34" s="1"/>
  <c r="AB587"/>
  <c r="AC587" s="1"/>
  <c r="AB92"/>
  <c r="AC92" s="1"/>
  <c r="Y411"/>
  <c r="Z411" s="1"/>
  <c r="AB860"/>
  <c r="AC860" s="1"/>
  <c r="AB616"/>
  <c r="AC616" s="1"/>
  <c r="S127"/>
  <c r="T127" s="1"/>
  <c r="S233"/>
  <c r="T233" s="1"/>
  <c r="P102"/>
  <c r="Q102" s="1"/>
  <c r="S22"/>
  <c r="T22" s="1"/>
  <c r="AB364"/>
  <c r="AC364" s="1"/>
  <c r="AB764"/>
  <c r="AC764" s="1"/>
  <c r="AB777"/>
  <c r="AC777" s="1"/>
  <c r="AB766"/>
  <c r="AC766" s="1"/>
  <c r="AE733"/>
  <c r="AF733" s="1"/>
  <c r="S93"/>
  <c r="T93" s="1"/>
  <c r="Y453"/>
  <c r="Z453" s="1"/>
  <c r="AB637"/>
  <c r="AC637" s="1"/>
  <c r="AB738"/>
  <c r="AC738" s="1"/>
  <c r="AB719"/>
  <c r="AC719" s="1"/>
  <c r="Y680"/>
  <c r="Z680" s="1"/>
  <c r="V154"/>
  <c r="W154" s="1"/>
  <c r="Y415"/>
  <c r="Z415" s="1"/>
  <c r="S185"/>
  <c r="T185" s="1"/>
  <c r="S156"/>
  <c r="T156" s="1"/>
  <c r="AB473"/>
  <c r="AC473" s="1"/>
  <c r="Y414"/>
  <c r="Z414" s="1"/>
  <c r="S314"/>
  <c r="T314" s="1"/>
  <c r="AB438"/>
  <c r="AC438" s="1"/>
  <c r="AB692"/>
  <c r="AC692" s="1"/>
  <c r="AB427"/>
  <c r="AC427" s="1"/>
  <c r="AB704"/>
  <c r="AC704" s="1"/>
  <c r="S171"/>
  <c r="T171" s="1"/>
  <c r="AB705"/>
  <c r="AC705" s="1"/>
  <c r="AB772"/>
  <c r="AC772" s="1"/>
  <c r="AB367"/>
  <c r="AC367" s="1"/>
  <c r="V122"/>
  <c r="W122" s="1"/>
  <c r="AB787"/>
  <c r="AC787" s="1"/>
  <c r="AE645"/>
  <c r="AF645" s="1"/>
  <c r="Y54"/>
  <c r="Z54" s="1"/>
  <c r="AB252"/>
  <c r="AC252" s="1"/>
  <c r="AB478"/>
  <c r="AC478" s="1"/>
  <c r="V267"/>
  <c r="W267" s="1"/>
  <c r="AB429"/>
  <c r="AC429" s="1"/>
  <c r="Y387"/>
  <c r="Z387" s="1"/>
  <c r="AA410"/>
  <c r="AB410" s="1"/>
  <c r="AC410" s="1"/>
  <c r="V161"/>
  <c r="W161" s="1"/>
  <c r="AB214"/>
  <c r="AC214" s="1"/>
  <c r="AE296"/>
  <c r="AF296" s="1"/>
  <c r="AB384"/>
  <c r="AC384" s="1"/>
  <c r="AB589"/>
  <c r="AC589" s="1"/>
  <c r="AB460"/>
  <c r="AC460" s="1"/>
  <c r="AB744"/>
  <c r="AC744" s="1"/>
  <c r="AB617"/>
  <c r="AC617" s="1"/>
  <c r="AB393"/>
  <c r="AC393" s="1"/>
  <c r="V59"/>
  <c r="W59" s="1"/>
  <c r="AB584"/>
  <c r="AC584" s="1"/>
  <c r="V71"/>
  <c r="W71" s="1"/>
  <c r="AB608"/>
  <c r="AC608" s="1"/>
  <c r="AB433"/>
  <c r="AC433" s="1"/>
  <c r="V147"/>
  <c r="W147" s="1"/>
  <c r="AB596"/>
  <c r="AC596" s="1"/>
  <c r="V120"/>
  <c r="W120" s="1"/>
  <c r="V188"/>
  <c r="W188" s="1"/>
  <c r="AB477"/>
  <c r="AC477" s="1"/>
  <c r="V179"/>
  <c r="W179" s="1"/>
  <c r="S75"/>
  <c r="T75" s="1"/>
  <c r="S174"/>
  <c r="T174" s="1"/>
  <c r="Y373"/>
  <c r="Z373" s="1"/>
  <c r="AE340"/>
  <c r="AF340" s="1"/>
  <c r="V280"/>
  <c r="W280" s="1"/>
  <c r="V287"/>
  <c r="W287" s="1"/>
  <c r="Y686"/>
  <c r="AB194"/>
  <c r="AC194" s="1"/>
  <c r="Y398"/>
  <c r="Z398" s="1"/>
  <c r="AB726"/>
  <c r="AC726" s="1"/>
  <c r="V169"/>
  <c r="W169" s="1"/>
  <c r="AB402"/>
  <c r="AC402" s="1"/>
  <c r="V44"/>
  <c r="W44" s="1"/>
  <c r="AB657"/>
  <c r="AC657" s="1"/>
  <c r="AE803"/>
  <c r="AF803" s="1"/>
  <c r="S239"/>
  <c r="T239" s="1"/>
  <c r="Y52"/>
  <c r="Z52" s="1"/>
  <c r="AB362"/>
  <c r="AC362" s="1"/>
  <c r="P20"/>
  <c r="Q20" s="1"/>
  <c r="V195"/>
  <c r="W195" s="1"/>
  <c r="AE289"/>
  <c r="AF289" s="1"/>
  <c r="Y622"/>
  <c r="Z622" s="1"/>
  <c r="Y536"/>
  <c r="Z536" s="1"/>
  <c r="AB412"/>
  <c r="AC412" s="1"/>
  <c r="V186"/>
  <c r="W186" s="1"/>
  <c r="P228"/>
  <c r="Q228" s="1"/>
  <c r="P211"/>
  <c r="Q211" s="1"/>
  <c r="AE842"/>
  <c r="AF842" s="1"/>
  <c r="Y676"/>
  <c r="Z676" s="1"/>
  <c r="AB718"/>
  <c r="AC718" s="1"/>
  <c r="S131"/>
  <c r="T131" s="1"/>
  <c r="AB443"/>
  <c r="AC443" s="1"/>
  <c r="AB856"/>
  <c r="AC856" s="1"/>
  <c r="Y728"/>
  <c r="Z728" s="1"/>
  <c r="Y788"/>
  <c r="Z788" s="1"/>
  <c r="Y731"/>
  <c r="Z731" s="1"/>
  <c r="Y773"/>
  <c r="Z773" s="1"/>
  <c r="AE308"/>
  <c r="AF308" s="1"/>
  <c r="Y525"/>
  <c r="Z525" s="1"/>
  <c r="AA452"/>
  <c r="AB452" s="1"/>
  <c r="AC452" s="1"/>
  <c r="AB303"/>
  <c r="AC303" s="1"/>
  <c r="Y516"/>
  <c r="Z516" s="1"/>
  <c r="S322"/>
  <c r="T322" s="1"/>
  <c r="Y419"/>
  <c r="Z419" s="1"/>
  <c r="Y435"/>
  <c r="Z435" s="1"/>
  <c r="Y210"/>
  <c r="Z210" s="1"/>
  <c r="S180"/>
  <c r="T180" s="1"/>
  <c r="S286"/>
  <c r="T286" s="1"/>
  <c r="S76"/>
  <c r="T76" s="1"/>
  <c r="P81"/>
  <c r="Q81" s="1"/>
  <c r="AB696"/>
  <c r="AC696" s="1"/>
  <c r="Y504"/>
  <c r="Z504" s="1"/>
  <c r="S166"/>
  <c r="T166" s="1"/>
  <c r="AB627"/>
  <c r="AC627" s="1"/>
  <c r="AE380"/>
  <c r="AF380" s="1"/>
  <c r="AB628"/>
  <c r="AC628" s="1"/>
  <c r="AE732"/>
  <c r="AF732" s="1"/>
  <c r="S204"/>
  <c r="T204" s="1"/>
  <c r="Y579"/>
  <c r="Z579" s="1"/>
  <c r="S737"/>
  <c r="T737" s="1"/>
  <c r="Y581"/>
  <c r="Z581" s="1"/>
  <c r="Y33"/>
  <c r="Z33" s="1"/>
  <c r="AB484"/>
  <c r="AC484" s="1"/>
  <c r="AB383"/>
  <c r="AC383" s="1"/>
  <c r="AB649"/>
  <c r="AC649" s="1"/>
  <c r="AB541"/>
  <c r="AC541" s="1"/>
  <c r="Y68"/>
  <c r="Z68" s="1"/>
  <c r="AE306"/>
  <c r="AF306" s="1"/>
  <c r="Y176"/>
  <c r="Z176" s="1"/>
  <c r="V231"/>
  <c r="W231" s="1"/>
  <c r="AE288"/>
  <c r="AF288" s="1"/>
  <c r="AB698"/>
  <c r="AC698" s="1"/>
  <c r="Y105"/>
  <c r="Z105" s="1"/>
  <c r="AB734"/>
  <c r="AC734" s="1"/>
  <c r="AA551"/>
  <c r="AB551" s="1"/>
  <c r="AC551" s="1"/>
  <c r="V192"/>
  <c r="W192" s="1"/>
  <c r="S4"/>
  <c r="T4" s="1"/>
  <c r="Y265"/>
  <c r="Z265" s="1"/>
  <c r="AB619"/>
  <c r="AC619" s="1"/>
  <c r="AB792"/>
  <c r="AC792" s="1"/>
  <c r="AB447"/>
  <c r="AC447" s="1"/>
  <c r="AB644"/>
  <c r="AC644" s="1"/>
  <c r="AB765"/>
  <c r="AC765" s="1"/>
  <c r="V762"/>
  <c r="W762" s="1"/>
  <c r="AB606"/>
  <c r="AC606" s="1"/>
  <c r="AB450"/>
  <c r="AC450" s="1"/>
  <c r="Y656"/>
  <c r="Z656" s="1"/>
  <c r="AB560"/>
  <c r="AC560" s="1"/>
  <c r="Y16"/>
  <c r="Z16" s="1"/>
  <c r="AB466"/>
  <c r="AC466" s="1"/>
  <c r="Y505"/>
  <c r="Z505" s="1"/>
  <c r="AB722"/>
  <c r="AC722" s="1"/>
  <c r="AB625"/>
  <c r="AC625" s="1"/>
  <c r="V141"/>
  <c r="W141" s="1"/>
  <c r="P148"/>
  <c r="Q148" s="1"/>
  <c r="Y590"/>
  <c r="Z590" s="1"/>
  <c r="AB409"/>
  <c r="AC409" s="1"/>
  <c r="AB564"/>
  <c r="AC564" s="1"/>
  <c r="AB558"/>
  <c r="AC558" s="1"/>
  <c r="Y481"/>
  <c r="Z481" s="1"/>
  <c r="P182"/>
  <c r="Q182" s="1"/>
  <c r="S114"/>
  <c r="T114" s="1"/>
  <c r="Y501"/>
  <c r="Z501" s="1"/>
  <c r="S62"/>
  <c r="T62" s="1"/>
  <c r="AB451"/>
  <c r="AC451" s="1"/>
  <c r="Y276"/>
  <c r="Z276" s="1"/>
  <c r="AB675"/>
  <c r="AC675" s="1"/>
  <c r="P73"/>
  <c r="Q73" s="1"/>
  <c r="AB633"/>
  <c r="AC633" s="1"/>
  <c r="V190"/>
  <c r="W190" s="1"/>
  <c r="S111"/>
  <c r="T111" s="1"/>
  <c r="V72"/>
  <c r="W72" s="1"/>
  <c r="AB615"/>
  <c r="AC615" s="1"/>
  <c r="AB401"/>
  <c r="AC401" s="1"/>
  <c r="V200"/>
  <c r="W200" s="1"/>
  <c r="V89"/>
  <c r="W89" s="1"/>
  <c r="V168"/>
  <c r="W168" s="1"/>
  <c r="AB577"/>
  <c r="AC577" s="1"/>
  <c r="AB720"/>
  <c r="AC720" s="1"/>
  <c r="AB500"/>
  <c r="AC500" s="1"/>
  <c r="V21"/>
  <c r="W21" s="1"/>
  <c r="V164"/>
  <c r="W164" s="1"/>
  <c r="AB471"/>
  <c r="AC471" s="1"/>
  <c r="S227"/>
  <c r="T227" s="1"/>
  <c r="Y43"/>
  <c r="Z43" s="1"/>
  <c r="V144"/>
  <c r="W144" s="1"/>
  <c r="AB817"/>
  <c r="AC817" s="1"/>
  <c r="V152"/>
  <c r="W152" s="1"/>
  <c r="AE356"/>
  <c r="AF356" s="1"/>
  <c r="V189"/>
  <c r="W189" s="1"/>
  <c r="Y270"/>
  <c r="Z270" s="1"/>
  <c r="AB701"/>
  <c r="AC701" s="1"/>
  <c r="AE836"/>
  <c r="AF836" s="1"/>
  <c r="V643"/>
  <c r="W643" s="1"/>
  <c r="Y643" s="1"/>
  <c r="V321"/>
  <c r="W321" s="1"/>
  <c r="AB417"/>
  <c r="AC417" s="1"/>
  <c r="Y229"/>
  <c r="Z229" s="1"/>
  <c r="V172"/>
  <c r="W172" s="1"/>
  <c r="AB430"/>
  <c r="AC430" s="1"/>
  <c r="AB569"/>
  <c r="AC569" s="1"/>
  <c r="AB461"/>
  <c r="AC461" s="1"/>
  <c r="Y64"/>
  <c r="Z64" s="1"/>
  <c r="AB391"/>
  <c r="AC391" s="1"/>
  <c r="P3"/>
  <c r="Q3" s="1"/>
  <c r="AB736"/>
  <c r="AC736" s="1"/>
  <c r="AB730"/>
  <c r="AC730" s="1"/>
  <c r="AB740"/>
  <c r="AC740" s="1"/>
  <c r="P183"/>
  <c r="Q183" s="1"/>
  <c r="AE318"/>
  <c r="AF318" s="1"/>
  <c r="S209"/>
  <c r="T209" s="1"/>
  <c r="Y714"/>
  <c r="Z714" s="1"/>
  <c r="AE304"/>
  <c r="AF304" s="1"/>
  <c r="Y593"/>
  <c r="Z593" s="1"/>
  <c r="AB672"/>
  <c r="AC672" s="1"/>
  <c r="AB420"/>
  <c r="AC420" s="1"/>
  <c r="AA561"/>
  <c r="P133"/>
  <c r="Q133" s="1"/>
  <c r="AB548"/>
  <c r="AC548" s="1"/>
  <c r="Y448"/>
  <c r="Z448" s="1"/>
  <c r="P222"/>
  <c r="Q222" s="1"/>
  <c r="Y799"/>
  <c r="Z799" s="1"/>
  <c r="AB346"/>
  <c r="AC346" s="1"/>
  <c r="AB257"/>
  <c r="AC257" s="1"/>
  <c r="S789"/>
  <c r="T789" s="1"/>
  <c r="Y77"/>
  <c r="Z77" s="1"/>
  <c r="AB332"/>
  <c r="AC332" s="1"/>
  <c r="AE377"/>
  <c r="AF377" s="1"/>
  <c r="V134"/>
  <c r="W134" s="1"/>
  <c r="AB547"/>
  <c r="AC547" s="1"/>
  <c r="AB472"/>
  <c r="AC472" s="1"/>
  <c r="AB503"/>
  <c r="AC503" s="1"/>
  <c r="AB665"/>
  <c r="AC665" s="1"/>
  <c r="AB626"/>
  <c r="AC626" s="1"/>
  <c r="V26"/>
  <c r="W26" s="1"/>
  <c r="V177"/>
  <c r="W177" s="1"/>
  <c r="AB630"/>
  <c r="AC630" s="1"/>
  <c r="AB710"/>
  <c r="AC710" s="1"/>
  <c r="AB392"/>
  <c r="AC392" s="1"/>
  <c r="Y861"/>
  <c r="Z861" s="1"/>
  <c r="AE361"/>
  <c r="AF361" s="1"/>
  <c r="Y258"/>
  <c r="Z258" s="1"/>
  <c r="AB808"/>
  <c r="AC808" s="1"/>
  <c r="V278"/>
  <c r="W278" s="1"/>
  <c r="V249"/>
  <c r="W249" s="1"/>
  <c r="AB751"/>
  <c r="AC751" s="1"/>
  <c r="Y266"/>
  <c r="Z266" s="1"/>
  <c r="Y785"/>
  <c r="Z785" s="1"/>
  <c r="S121"/>
  <c r="T121" s="1"/>
  <c r="AB683"/>
  <c r="AC683" s="1"/>
  <c r="AB449"/>
  <c r="AC449" s="1"/>
  <c r="AB565"/>
  <c r="AC565" s="1"/>
  <c r="AB518"/>
  <c r="AC518" s="1"/>
  <c r="AB440"/>
  <c r="AC440" s="1"/>
  <c r="AB700"/>
  <c r="AC700" s="1"/>
  <c r="Y468"/>
  <c r="Z468" s="1"/>
  <c r="AB442"/>
  <c r="AC442" s="1"/>
  <c r="T396"/>
  <c r="V88"/>
  <c r="W88" s="1"/>
  <c r="P60"/>
  <c r="Q60" s="1"/>
  <c r="S38"/>
  <c r="T38" s="1"/>
  <c r="Y406"/>
  <c r="Z406" s="1"/>
  <c r="V123"/>
  <c r="W123" s="1"/>
  <c r="S283"/>
  <c r="T283" s="1"/>
  <c r="AB404"/>
  <c r="AC404" s="1"/>
  <c r="Y802"/>
  <c r="Z802" s="1"/>
  <c r="V349"/>
  <c r="W349" s="1"/>
  <c r="Y463"/>
  <c r="Z463" s="1"/>
  <c r="Y434"/>
  <c r="Z434" s="1"/>
  <c r="Y390"/>
  <c r="Z390" s="1"/>
  <c r="P112"/>
  <c r="Q112" s="1"/>
  <c r="AE599"/>
  <c r="AF599" s="1"/>
  <c r="AB341"/>
  <c r="AC341" s="1"/>
  <c r="AE774"/>
  <c r="AF774" s="1"/>
  <c r="Y783"/>
  <c r="Z783" s="1"/>
  <c r="P206"/>
  <c r="Q206" s="1"/>
  <c r="Y557"/>
  <c r="Z557" s="1"/>
  <c r="AB685"/>
  <c r="AC685" s="1"/>
  <c r="AB469"/>
  <c r="AC469" s="1"/>
  <c r="AB386"/>
  <c r="AC386" s="1"/>
  <c r="S108"/>
  <c r="T108" s="1"/>
  <c r="AA708"/>
  <c r="AB708" s="1"/>
  <c r="AC708" s="1"/>
  <c r="S225"/>
  <c r="T225" s="1"/>
  <c r="AB653"/>
  <c r="AC653" s="1"/>
  <c r="AB618"/>
  <c r="AC618" s="1"/>
  <c r="AB507"/>
  <c r="AC507" s="1"/>
  <c r="V39"/>
  <c r="W39" s="1"/>
  <c r="V138"/>
  <c r="W138" s="1"/>
  <c r="AE305"/>
  <c r="AF305" s="1"/>
  <c r="S208"/>
  <c r="T208" s="1"/>
  <c r="V51"/>
  <c r="W51" s="1"/>
  <c r="AB853"/>
  <c r="AC853" s="1"/>
  <c r="AB355"/>
  <c r="AC355" s="1"/>
  <c r="AE316"/>
  <c r="AF316" s="1"/>
  <c r="AB695"/>
  <c r="AC695" s="1"/>
  <c r="AB651"/>
  <c r="AC651" s="1"/>
  <c r="N7"/>
  <c r="Q2"/>
  <c r="P712"/>
  <c r="Y337"/>
  <c r="Z337" s="1"/>
  <c r="S84"/>
  <c r="T84" s="1"/>
  <c r="AB699"/>
  <c r="AC699" s="1"/>
  <c r="Y540"/>
  <c r="Z540" s="1"/>
  <c r="AB467"/>
  <c r="AC467" s="1"/>
  <c r="S100"/>
  <c r="T100" s="1"/>
  <c r="AB567"/>
  <c r="AC567" s="1"/>
  <c r="AB292"/>
  <c r="AC292" s="1"/>
  <c r="AB554"/>
  <c r="AC554" s="1"/>
  <c r="AB515"/>
  <c r="AC515" s="1"/>
  <c r="S150"/>
  <c r="T150" s="1"/>
  <c r="AE82"/>
  <c r="AF82" s="1"/>
  <c r="AB99"/>
  <c r="AC99" s="1"/>
  <c r="AE819"/>
  <c r="AF819" s="1"/>
  <c r="AB521"/>
  <c r="AC521" s="1"/>
  <c r="AB365"/>
  <c r="AC365" s="1"/>
  <c r="Y170"/>
  <c r="Z170" s="1"/>
  <c r="P98"/>
  <c r="Q98" s="1"/>
  <c r="Y339"/>
  <c r="Z339" s="1"/>
  <c r="AB297"/>
  <c r="AC297" s="1"/>
  <c r="AB670"/>
  <c r="AC670" s="1"/>
  <c r="V8"/>
  <c r="W8" s="1"/>
  <c r="P139"/>
  <c r="Q139" s="1"/>
  <c r="AB510"/>
  <c r="AC510" s="1"/>
  <c r="S173"/>
  <c r="T173" s="1"/>
  <c r="V247"/>
  <c r="W247" s="1"/>
  <c r="S224"/>
  <c r="T224" s="1"/>
  <c r="V795"/>
  <c r="W795" s="1"/>
  <c r="Y351"/>
  <c r="Z351" s="1"/>
  <c r="Y555"/>
  <c r="Z555" s="1"/>
  <c r="Y534"/>
  <c r="Z534" s="1"/>
  <c r="Y263"/>
  <c r="Z263" s="1"/>
  <c r="Y432"/>
  <c r="Z432" s="1"/>
  <c r="AB575"/>
  <c r="AC575" s="1"/>
  <c r="Y359"/>
  <c r="AB323"/>
  <c r="AC323" s="1"/>
  <c r="V241"/>
  <c r="W241" s="1"/>
  <c r="Y333"/>
  <c r="Z333" s="1"/>
  <c r="P132"/>
  <c r="Q132" s="1"/>
  <c r="S97"/>
  <c r="T97" s="1"/>
  <c r="V378"/>
  <c r="W378" s="1"/>
  <c r="AE290"/>
  <c r="AF290" s="1"/>
  <c r="S274"/>
  <c r="T274" s="1"/>
  <c r="Y519"/>
  <c r="Z519" s="1"/>
  <c r="P196"/>
  <c r="Q196" s="1"/>
  <c r="AB523"/>
  <c r="AC523" s="1"/>
  <c r="P13"/>
  <c r="V455"/>
  <c r="Y457"/>
  <c r="Z457" s="1"/>
  <c r="V353"/>
  <c r="W353" s="1"/>
  <c r="V658"/>
  <c r="W658" s="1"/>
  <c r="Y187"/>
  <c r="Z187" s="1"/>
  <c r="S191"/>
  <c r="T191" s="1"/>
  <c r="P18"/>
  <c r="AE312"/>
  <c r="AF312" s="1"/>
  <c r="V517"/>
  <c r="W517" s="1"/>
  <c r="AB605"/>
  <c r="AC605" s="1"/>
  <c r="S284"/>
  <c r="T284" s="1"/>
  <c r="AB527"/>
  <c r="AC527" s="1"/>
  <c r="P115"/>
  <c r="Q115" s="1"/>
  <c r="Y532"/>
  <c r="Z532" s="1"/>
  <c r="V50"/>
  <c r="W50" s="1"/>
  <c r="S268"/>
  <c r="T268" s="1"/>
  <c r="Y381"/>
  <c r="Z381" s="1"/>
  <c r="Y343"/>
  <c r="Z343" s="1"/>
  <c r="Q350"/>
  <c r="Y614"/>
  <c r="Z614" s="1"/>
  <c r="AB598"/>
  <c r="AC598" s="1"/>
  <c r="S146"/>
  <c r="T146" s="1"/>
  <c r="S143"/>
  <c r="T143" s="1"/>
  <c r="AB784"/>
  <c r="AC784" s="1"/>
  <c r="AB368"/>
  <c r="AC368" s="1"/>
  <c r="AB497"/>
  <c r="AC497" s="1"/>
  <c r="V79"/>
  <c r="W79" s="1"/>
  <c r="Y55"/>
  <c r="Z55" s="1"/>
  <c r="T9"/>
  <c r="Q14"/>
  <c r="O571"/>
  <c r="T11"/>
  <c r="N151"/>
  <c r="N103"/>
  <c r="AF49"/>
  <c r="AB655"/>
  <c r="AC655" s="1"/>
  <c r="S37"/>
  <c r="T37" s="1"/>
  <c r="Y780"/>
  <c r="Z780" s="1"/>
  <c r="V202"/>
  <c r="W202" s="1"/>
  <c r="AE674"/>
  <c r="AF674" s="1"/>
  <c r="V397"/>
  <c r="W397" s="1"/>
  <c r="Y338"/>
  <c r="Z338" s="1"/>
  <c r="Y334"/>
  <c r="Z334" s="1"/>
  <c r="P654"/>
  <c r="Q654" s="1"/>
  <c r="T454"/>
  <c r="V352"/>
  <c r="W352" s="1"/>
  <c r="S6"/>
  <c r="T6" s="1"/>
  <c r="AE855"/>
  <c r="AF855" s="1"/>
  <c r="Q372"/>
  <c r="Y345"/>
  <c r="Z345" s="1"/>
  <c r="V462"/>
  <c r="W462" s="1"/>
  <c r="V327"/>
  <c r="P193"/>
  <c r="Q193" s="1"/>
  <c r="AE537"/>
  <c r="AF537" s="1"/>
  <c r="AB441"/>
  <c r="AC441" s="1"/>
  <c r="S163"/>
  <c r="T163" s="1"/>
  <c r="P863"/>
  <c r="AB809"/>
  <c r="AC809" s="1"/>
  <c r="AB336"/>
  <c r="AC336" s="1"/>
  <c r="P85"/>
  <c r="Q85" s="1"/>
  <c r="V611"/>
  <c r="W611" s="1"/>
  <c r="V35"/>
  <c r="W35" s="1"/>
  <c r="AB444"/>
  <c r="AC444" s="1"/>
  <c r="AB585"/>
  <c r="AC585" s="1"/>
  <c r="AE23"/>
  <c r="AF23" s="1"/>
  <c r="AB298"/>
  <c r="AC298" s="1"/>
  <c r="Y328"/>
  <c r="Z328" s="1"/>
  <c r="AB354"/>
  <c r="AC354" s="1"/>
  <c r="AB747"/>
  <c r="AC747" s="1"/>
  <c r="AE520"/>
  <c r="AF520" s="1"/>
  <c r="AB724"/>
  <c r="AC724" s="1"/>
  <c r="AB83"/>
  <c r="AC83" s="1"/>
  <c r="AB602"/>
  <c r="AC602" s="1"/>
  <c r="Y219"/>
  <c r="Z219" s="1"/>
  <c r="AE319"/>
  <c r="AF319" s="1"/>
  <c r="S153"/>
  <c r="T153" s="1"/>
  <c r="AB483"/>
  <c r="AC483" s="1"/>
  <c r="S213"/>
  <c r="T213" s="1"/>
  <c r="V243"/>
  <c r="W243" s="1"/>
  <c r="AE621"/>
  <c r="AF621" s="1"/>
  <c r="AB446"/>
  <c r="AC446" s="1"/>
  <c r="V61"/>
  <c r="W61" s="1"/>
  <c r="AB445"/>
  <c r="AC445" s="1"/>
  <c r="Y277"/>
  <c r="Z277" s="1"/>
  <c r="AB640"/>
  <c r="AC640" s="1"/>
  <c r="AB405"/>
  <c r="AC405" s="1"/>
  <c r="AB562"/>
  <c r="AC562" s="1"/>
  <c r="AB413"/>
  <c r="AC413" s="1"/>
  <c r="AB641"/>
  <c r="AC641" s="1"/>
  <c r="AB513"/>
  <c r="AC513" s="1"/>
  <c r="AB94"/>
  <c r="AC94" s="1"/>
  <c r="AE307"/>
  <c r="AF307" s="1"/>
  <c r="S95"/>
  <c r="T95" s="1"/>
  <c r="AE310"/>
  <c r="AF310" s="1"/>
  <c r="AE572"/>
  <c r="AF572" s="1"/>
  <c r="S65"/>
  <c r="T65" s="1"/>
  <c r="Y90"/>
  <c r="Z90" s="1"/>
  <c r="N661"/>
  <c r="Q746"/>
  <c r="N759"/>
  <c r="L712"/>
  <c r="L571" s="1"/>
  <c r="Q104"/>
  <c r="N145"/>
  <c r="Q285"/>
  <c r="N218"/>
  <c r="Q755"/>
  <c r="T29"/>
  <c r="N66"/>
  <c r="S160"/>
  <c r="T160" s="1"/>
  <c r="P216"/>
  <c r="Q216" s="1"/>
  <c r="S36"/>
  <c r="T36" s="1"/>
  <c r="AB573"/>
  <c r="AC573" s="1"/>
  <c r="Y58"/>
  <c r="AB543"/>
  <c r="AC543" s="1"/>
  <c r="AB426"/>
  <c r="AC426" s="1"/>
  <c r="Y342"/>
  <c r="Z342" s="1"/>
  <c r="U604"/>
  <c r="Y385"/>
  <c r="Z385" s="1"/>
  <c r="AA347"/>
  <c r="Y586"/>
  <c r="Z586" s="1"/>
  <c r="Y782"/>
  <c r="Z782" s="1"/>
  <c r="AB529"/>
  <c r="AC529" s="1"/>
  <c r="V136"/>
  <c r="W136" s="1"/>
  <c r="V109"/>
  <c r="W109" s="1"/>
  <c r="Y790"/>
  <c r="Z790" s="1"/>
  <c r="AE302"/>
  <c r="AF302" s="1"/>
  <c r="Y591"/>
  <c r="Y677"/>
  <c r="Z677" s="1"/>
  <c r="AE757"/>
  <c r="AF757" s="1"/>
  <c r="Y125"/>
  <c r="Z125" s="1"/>
  <c r="AB464"/>
  <c r="AC464" s="1"/>
  <c r="V124"/>
  <c r="W124" s="1"/>
  <c r="AB668"/>
  <c r="AC668" s="1"/>
  <c r="P126"/>
  <c r="Q126" s="1"/>
  <c r="AE400"/>
  <c r="AF400" s="1"/>
  <c r="AB162"/>
  <c r="AC162" s="1"/>
  <c r="AB86"/>
  <c r="AC86" s="1"/>
  <c r="AB624"/>
  <c r="AC624" s="1"/>
  <c r="V687"/>
  <c r="W687" s="1"/>
  <c r="V106"/>
  <c r="W106" s="1"/>
  <c r="S271"/>
  <c r="T271" s="1"/>
  <c r="V25"/>
  <c r="W25" s="1"/>
  <c r="AB522"/>
  <c r="AC522" s="1"/>
  <c r="S199"/>
  <c r="T199" s="1"/>
  <c r="P91"/>
  <c r="Q91" s="1"/>
  <c r="AB576"/>
  <c r="AC576" s="1"/>
  <c r="AB770"/>
  <c r="AC770" s="1"/>
  <c r="AB779"/>
  <c r="AC779" s="1"/>
  <c r="AB546"/>
  <c r="AC546" s="1"/>
  <c r="S28"/>
  <c r="T28" s="1"/>
  <c r="S279"/>
  <c r="T279" s="1"/>
  <c r="S96"/>
  <c r="T96" s="1"/>
  <c r="Y556"/>
  <c r="Z556" s="1"/>
  <c r="Y416"/>
  <c r="Z416" s="1"/>
  <c r="P80"/>
  <c r="Q80" s="1"/>
  <c r="V748"/>
  <c r="W748" s="1"/>
  <c r="Y480"/>
  <c r="Z480" s="1"/>
  <c r="Y331"/>
  <c r="Z331" s="1"/>
  <c r="P159"/>
  <c r="Q159" s="1"/>
  <c r="P248"/>
  <c r="Q248" s="1"/>
  <c r="V107"/>
  <c r="W107" s="1"/>
  <c r="S70"/>
  <c r="AB800"/>
  <c r="AC800" s="1"/>
  <c r="AB646"/>
  <c r="AC646" s="1"/>
  <c r="Y753"/>
  <c r="Z753" s="1"/>
  <c r="Y749"/>
  <c r="Z749" s="1"/>
  <c r="P69"/>
  <c r="Y566"/>
  <c r="Z566" s="1"/>
  <c r="P5"/>
  <c r="Y538"/>
  <c r="Z538" s="1"/>
  <c r="Y758"/>
  <c r="Z758" s="1"/>
  <c r="P142"/>
  <c r="Q142" s="1"/>
  <c r="AB568"/>
  <c r="AC568" s="1"/>
  <c r="V10"/>
  <c r="W10" s="1"/>
  <c r="AB603"/>
  <c r="AC603" s="1"/>
  <c r="Y580"/>
  <c r="Z580" s="1"/>
  <c r="AB729"/>
  <c r="AC729" s="1"/>
  <c r="AB588"/>
  <c r="AC588" s="1"/>
  <c r="Y639"/>
  <c r="Z639" s="1"/>
  <c r="AE300"/>
  <c r="AF300" s="1"/>
  <c r="S205"/>
  <c r="T205" s="1"/>
  <c r="Y389"/>
  <c r="Z389" s="1"/>
  <c r="Y495"/>
  <c r="Z495" s="1"/>
  <c r="Y552"/>
  <c r="Z552" s="1"/>
  <c r="Y638"/>
  <c r="Z638" s="1"/>
  <c r="S212"/>
  <c r="T212" s="1"/>
  <c r="Y739"/>
  <c r="Z739" s="1"/>
  <c r="Y528"/>
  <c r="Z528" s="1"/>
  <c r="P19"/>
  <c r="Y679"/>
  <c r="Z679" s="1"/>
  <c r="AB717"/>
  <c r="AC717" s="1"/>
  <c r="Y155"/>
  <c r="Z155" s="1"/>
  <c r="AB741"/>
  <c r="AC741" s="1"/>
  <c r="V752"/>
  <c r="W752" s="1"/>
  <c r="AB262"/>
  <c r="AC262" s="1"/>
  <c r="Y366"/>
  <c r="Z366" s="1"/>
  <c r="S31"/>
  <c r="T31" s="1"/>
  <c r="V158"/>
  <c r="W158" s="1"/>
  <c r="AB690"/>
  <c r="AC690" s="1"/>
  <c r="P167"/>
  <c r="Q167" s="1"/>
  <c r="AE684"/>
  <c r="AF684" s="1"/>
  <c r="S57"/>
  <c r="T57" s="1"/>
  <c r="V394"/>
  <c r="W394" s="1"/>
  <c r="V101"/>
  <c r="W101" s="1"/>
  <c r="AB509"/>
  <c r="AC509" s="1"/>
  <c r="Y399"/>
  <c r="Z399" s="1"/>
  <c r="Y582"/>
  <c r="Z582" s="1"/>
  <c r="P24"/>
  <c r="Q24" s="1"/>
  <c r="AB470"/>
  <c r="AC470" s="1"/>
  <c r="AB428"/>
  <c r="AC428" s="1"/>
  <c r="AB553"/>
  <c r="AC553" s="1"/>
  <c r="AB407"/>
  <c r="AC407" s="1"/>
  <c r="AB563"/>
  <c r="AC563" s="1"/>
  <c r="P46"/>
  <c r="Q46" s="1"/>
  <c r="AB667"/>
  <c r="AC667" s="1"/>
  <c r="Y221"/>
  <c r="Z221" s="1"/>
  <c r="Y634"/>
  <c r="Z634" s="1"/>
  <c r="V116"/>
  <c r="W116" s="1"/>
  <c r="AB631"/>
  <c r="AC631" s="1"/>
  <c r="S110"/>
  <c r="AB456"/>
  <c r="AC456" s="1"/>
  <c r="AB526"/>
  <c r="AC526" s="1"/>
  <c r="S175"/>
  <c r="T175" s="1"/>
  <c r="AB479"/>
  <c r="AC479" s="1"/>
  <c r="Y45"/>
  <c r="Y476"/>
  <c r="Z476" s="1"/>
  <c r="AB550"/>
  <c r="AC550" s="1"/>
  <c r="P119"/>
  <c r="Q119" s="1"/>
  <c r="AB681"/>
  <c r="AC681" s="1"/>
  <c r="AB822"/>
  <c r="AC822" s="1"/>
  <c r="AB798"/>
  <c r="AC798" s="1"/>
  <c r="AB706"/>
  <c r="AC706" s="1"/>
  <c r="AB357"/>
  <c r="AC357" s="1"/>
  <c r="V272"/>
  <c r="W272" s="1"/>
  <c r="AB694"/>
  <c r="AC694" s="1"/>
  <c r="S250"/>
  <c r="T250" s="1"/>
  <c r="AB259"/>
  <c r="AC259" s="1"/>
  <c r="V15"/>
  <c r="W15" s="1"/>
  <c r="AE805"/>
  <c r="AB601"/>
  <c r="AC601" s="1"/>
  <c r="AB723"/>
  <c r="AC723" s="1"/>
  <c r="AB542"/>
  <c r="AC542" s="1"/>
  <c r="AB533"/>
  <c r="AC533" s="1"/>
  <c r="AB512"/>
  <c r="AC512" s="1"/>
  <c r="AB301"/>
  <c r="AC301" s="1"/>
  <c r="AE388"/>
  <c r="AF388" s="1"/>
  <c r="AB524"/>
  <c r="AC524" s="1"/>
  <c r="S117"/>
  <c r="Q712"/>
  <c r="AE128" i="3"/>
  <c r="AF128" s="1"/>
  <c r="AE427"/>
  <c r="AF427" s="1"/>
  <c r="AD827"/>
  <c r="AD568"/>
  <c r="AE568" s="1"/>
  <c r="AF568" s="1"/>
  <c r="AE222"/>
  <c r="AF222" s="1"/>
  <c r="U10" i="1"/>
  <c r="AE835" i="3"/>
  <c r="AF835" s="1"/>
  <c r="AE833"/>
  <c r="AF833" s="1"/>
  <c r="AE826"/>
  <c r="AF826" s="1"/>
  <c r="AE810"/>
  <c r="AF810" s="1"/>
  <c r="AE245"/>
  <c r="AF245" s="1"/>
  <c r="AE206"/>
  <c r="AF206" s="1"/>
  <c r="AE466"/>
  <c r="AF466" s="1"/>
  <c r="AE200"/>
  <c r="AF200" s="1"/>
  <c r="AD430"/>
  <c r="AE429"/>
  <c r="AF429" s="1"/>
  <c r="AE815"/>
  <c r="AF815" s="1"/>
  <c r="AD494"/>
  <c r="AF620" i="4" l="1"/>
  <c r="AC852"/>
  <c r="O9" i="2" s="1"/>
  <c r="AF805" i="4"/>
  <c r="AF806" s="1"/>
  <c r="Q8" i="2" s="1"/>
  <c r="P8" s="1"/>
  <c r="R8" s="1"/>
  <c r="AE806" i="4"/>
  <c r="AE636"/>
  <c r="T110"/>
  <c r="V110" s="1"/>
  <c r="W110" s="1"/>
  <c r="AE262"/>
  <c r="AF262" s="1"/>
  <c r="AB495"/>
  <c r="AC495" s="1"/>
  <c r="AB753"/>
  <c r="AC753" s="1"/>
  <c r="AE576"/>
  <c r="AF576" s="1"/>
  <c r="Y687"/>
  <c r="Z686" s="1"/>
  <c r="AE464"/>
  <c r="AF464" s="1"/>
  <c r="AB677"/>
  <c r="AC677" s="1"/>
  <c r="AB782"/>
  <c r="AC782" s="1"/>
  <c r="AB342"/>
  <c r="AC342" s="1"/>
  <c r="S216"/>
  <c r="T216" s="1"/>
  <c r="AE405"/>
  <c r="AF405" s="1"/>
  <c r="AE483"/>
  <c r="AF483" s="1"/>
  <c r="AE809"/>
  <c r="AF809" s="1"/>
  <c r="AE533"/>
  <c r="AF533" s="1"/>
  <c r="AE694"/>
  <c r="AF694" s="1"/>
  <c r="Y101"/>
  <c r="Z101" s="1"/>
  <c r="AB679"/>
  <c r="AC679" s="1"/>
  <c r="AB739"/>
  <c r="AC739" s="1"/>
  <c r="AB552"/>
  <c r="AC552" s="1"/>
  <c r="AE588"/>
  <c r="AF588" s="1"/>
  <c r="AB758"/>
  <c r="AC758" s="1"/>
  <c r="AB749"/>
  <c r="AC749" s="1"/>
  <c r="S80"/>
  <c r="T80" s="1"/>
  <c r="V36"/>
  <c r="W36" s="1"/>
  <c r="AE641"/>
  <c r="AF641" s="1"/>
  <c r="AE444"/>
  <c r="AF444" s="1"/>
  <c r="AE336"/>
  <c r="AF336" s="1"/>
  <c r="AB55"/>
  <c r="AC55" s="1"/>
  <c r="AB532"/>
  <c r="AC532" s="1"/>
  <c r="AE605"/>
  <c r="AF605" s="1"/>
  <c r="Y658"/>
  <c r="Z658" s="1"/>
  <c r="S196"/>
  <c r="T196" s="1"/>
  <c r="Y241"/>
  <c r="Z241" s="1"/>
  <c r="AB534"/>
  <c r="AC534" s="1"/>
  <c r="V224"/>
  <c r="W224" s="1"/>
  <c r="AE510"/>
  <c r="AF510" s="1"/>
  <c r="AB339"/>
  <c r="AC339" s="1"/>
  <c r="V150"/>
  <c r="W150" s="1"/>
  <c r="AE853"/>
  <c r="AE653"/>
  <c r="AF653" s="1"/>
  <c r="V283"/>
  <c r="W283" s="1"/>
  <c r="V38"/>
  <c r="W38" s="1"/>
  <c r="AE700"/>
  <c r="AF700" s="1"/>
  <c r="AE449"/>
  <c r="AF449" s="1"/>
  <c r="AB785"/>
  <c r="AC785" s="1"/>
  <c r="Y278"/>
  <c r="Z278" s="1"/>
  <c r="AE710"/>
  <c r="AF710" s="1"/>
  <c r="V789"/>
  <c r="W789" s="1"/>
  <c r="AE548"/>
  <c r="AF548" s="1"/>
  <c r="AE420"/>
  <c r="AF420" s="1"/>
  <c r="AE461"/>
  <c r="AF461" s="1"/>
  <c r="Y172"/>
  <c r="Z172" s="1"/>
  <c r="V227"/>
  <c r="W227" s="1"/>
  <c r="AE577"/>
  <c r="AF577" s="1"/>
  <c r="Y190"/>
  <c r="Z190" s="1"/>
  <c r="V62"/>
  <c r="W62" s="1"/>
  <c r="AE558"/>
  <c r="AF558" s="1"/>
  <c r="AB590"/>
  <c r="AC590" s="1"/>
  <c r="AB16"/>
  <c r="AC16" s="1"/>
  <c r="AE447"/>
  <c r="AF447" s="1"/>
  <c r="AE734"/>
  <c r="AF734" s="1"/>
  <c r="AE649"/>
  <c r="AF649" s="1"/>
  <c r="AB419"/>
  <c r="AC419" s="1"/>
  <c r="AB728"/>
  <c r="AC728" s="1"/>
  <c r="S228"/>
  <c r="T228" s="1"/>
  <c r="S20"/>
  <c r="T20" s="1"/>
  <c r="Y44"/>
  <c r="Z44" s="1"/>
  <c r="AE194"/>
  <c r="AF194" s="1"/>
  <c r="Y147"/>
  <c r="Z147" s="1"/>
  <c r="AE744"/>
  <c r="AF744" s="1"/>
  <c r="AE478"/>
  <c r="AF478" s="1"/>
  <c r="AE367"/>
  <c r="AF367" s="1"/>
  <c r="AE427"/>
  <c r="AF427" s="1"/>
  <c r="AE719"/>
  <c r="AF719" s="1"/>
  <c r="AE777"/>
  <c r="AF777" s="1"/>
  <c r="AE616"/>
  <c r="AF616" s="1"/>
  <c r="AB256"/>
  <c r="AC256" s="1"/>
  <c r="AB514"/>
  <c r="AC514" s="1"/>
  <c r="AB859"/>
  <c r="AC859" s="1"/>
  <c r="V56"/>
  <c r="W56" s="1"/>
  <c r="AB511"/>
  <c r="AC511" s="1"/>
  <c r="AE425"/>
  <c r="AF425" s="1"/>
  <c r="Y78"/>
  <c r="Z78" s="1"/>
  <c r="Y237"/>
  <c r="Z237" s="1"/>
  <c r="V223"/>
  <c r="W223" s="1"/>
  <c r="Y40"/>
  <c r="Z40" s="1"/>
  <c r="AB421"/>
  <c r="AC421" s="1"/>
  <c r="AE301"/>
  <c r="AF301" s="1"/>
  <c r="AE601"/>
  <c r="AF601" s="1"/>
  <c r="AE259"/>
  <c r="AF259" s="1"/>
  <c r="AE681"/>
  <c r="AF681" s="1"/>
  <c r="AB399"/>
  <c r="AC399" s="1"/>
  <c r="V212"/>
  <c r="W212" s="1"/>
  <c r="AE729"/>
  <c r="AF729" s="1"/>
  <c r="AB566"/>
  <c r="AC566" s="1"/>
  <c r="AB416"/>
  <c r="AC416" s="1"/>
  <c r="Y25"/>
  <c r="Z25" s="1"/>
  <c r="AE524"/>
  <c r="AF524" s="1"/>
  <c r="AE357"/>
  <c r="AF357" s="1"/>
  <c r="AE631"/>
  <c r="AF631" s="1"/>
  <c r="AE407"/>
  <c r="AF407" s="1"/>
  <c r="AE470"/>
  <c r="AF470" s="1"/>
  <c r="V57"/>
  <c r="W57" s="1"/>
  <c r="Y158"/>
  <c r="Z158" s="1"/>
  <c r="AE717"/>
  <c r="AF717" s="1"/>
  <c r="AB528"/>
  <c r="AC528" s="1"/>
  <c r="AB639"/>
  <c r="AC639" s="1"/>
  <c r="AE603"/>
  <c r="AF603" s="1"/>
  <c r="AE568"/>
  <c r="AF568" s="1"/>
  <c r="S159"/>
  <c r="T159" s="1"/>
  <c r="Y748"/>
  <c r="Z748" s="1"/>
  <c r="V96"/>
  <c r="W96" s="1"/>
  <c r="AE86"/>
  <c r="AF86" s="1"/>
  <c r="AE573"/>
  <c r="AF573" s="1"/>
  <c r="AB338"/>
  <c r="AC338" s="1"/>
  <c r="AE497"/>
  <c r="AF497" s="1"/>
  <c r="AB614"/>
  <c r="AC614" s="1"/>
  <c r="AB457"/>
  <c r="AC457" s="1"/>
  <c r="V97"/>
  <c r="W97" s="1"/>
  <c r="Y795"/>
  <c r="Z795" s="1"/>
  <c r="AB540"/>
  <c r="AC540" s="1"/>
  <c r="V208"/>
  <c r="W208" s="1"/>
  <c r="AB468"/>
  <c r="AC468" s="1"/>
  <c r="Y249"/>
  <c r="Z249" s="1"/>
  <c r="Y26"/>
  <c r="Z26" s="1"/>
  <c r="AB448"/>
  <c r="AC448" s="1"/>
  <c r="AB593"/>
  <c r="AC593" s="1"/>
  <c r="V209"/>
  <c r="W209" s="1"/>
  <c r="AE730"/>
  <c r="AF730" s="1"/>
  <c r="AE430"/>
  <c r="AF430" s="1"/>
  <c r="Y189"/>
  <c r="Z189" s="1"/>
  <c r="AB43"/>
  <c r="AC43" s="1"/>
  <c r="V114"/>
  <c r="W114" s="1"/>
  <c r="AE409"/>
  <c r="AF409" s="1"/>
  <c r="AB656"/>
  <c r="AC656" s="1"/>
  <c r="AE619"/>
  <c r="AF619" s="1"/>
  <c r="AE698"/>
  <c r="AF698" s="1"/>
  <c r="AE541"/>
  <c r="AF541" s="1"/>
  <c r="AB33"/>
  <c r="AC33" s="1"/>
  <c r="AB504"/>
  <c r="AC504" s="1"/>
  <c r="AE303"/>
  <c r="AF303" s="1"/>
  <c r="AE443"/>
  <c r="AF443" s="1"/>
  <c r="AB622"/>
  <c r="AC622" s="1"/>
  <c r="AB52"/>
  <c r="AC52" s="1"/>
  <c r="AE657"/>
  <c r="AF657" s="1"/>
  <c r="AB398"/>
  <c r="AC398" s="1"/>
  <c r="Y280"/>
  <c r="Z280" s="1"/>
  <c r="AE608"/>
  <c r="AF608" s="1"/>
  <c r="AE589"/>
  <c r="AF589" s="1"/>
  <c r="AB387"/>
  <c r="AC387" s="1"/>
  <c r="Y122"/>
  <c r="Z122" s="1"/>
  <c r="V185"/>
  <c r="W185" s="1"/>
  <c r="AB680"/>
  <c r="AC680" s="1"/>
  <c r="V93"/>
  <c r="W93" s="1"/>
  <c r="V127"/>
  <c r="W127" s="1"/>
  <c r="AB797"/>
  <c r="AC797" s="1"/>
  <c r="V238"/>
  <c r="W238" s="1"/>
  <c r="S32"/>
  <c r="T32" s="1"/>
  <c r="AB137"/>
  <c r="AC137" s="1"/>
  <c r="V129"/>
  <c r="W129" s="1"/>
  <c r="AE697"/>
  <c r="AF697" s="1"/>
  <c r="AE735"/>
  <c r="AF735" s="1"/>
  <c r="AE130"/>
  <c r="AF130" s="1"/>
  <c r="AE459"/>
  <c r="AF459" s="1"/>
  <c r="AB664"/>
  <c r="AC664" s="1"/>
  <c r="AE506"/>
  <c r="AF506" s="1"/>
  <c r="AB431"/>
  <c r="AC431" s="1"/>
  <c r="AE721"/>
  <c r="AF721" s="1"/>
  <c r="AB277"/>
  <c r="AC277" s="1"/>
  <c r="AE446"/>
  <c r="AF446" s="1"/>
  <c r="AE602"/>
  <c r="AF602" s="1"/>
  <c r="AE354"/>
  <c r="AF354" s="1"/>
  <c r="V163"/>
  <c r="W163" s="1"/>
  <c r="S193"/>
  <c r="T193" s="1"/>
  <c r="Y202"/>
  <c r="Z202" s="1"/>
  <c r="V143"/>
  <c r="W143" s="1"/>
  <c r="V284"/>
  <c r="W284" s="1"/>
  <c r="AB187"/>
  <c r="AC187" s="1"/>
  <c r="AE523"/>
  <c r="AF523" s="1"/>
  <c r="AB263"/>
  <c r="AC263" s="1"/>
  <c r="V173"/>
  <c r="W173" s="1"/>
  <c r="AB170"/>
  <c r="AC170" s="1"/>
  <c r="AE554"/>
  <c r="AF554" s="1"/>
  <c r="AE567"/>
  <c r="AF567" s="1"/>
  <c r="AE708"/>
  <c r="AF708" s="1"/>
  <c r="AB390"/>
  <c r="AC390" s="1"/>
  <c r="AB406"/>
  <c r="AC406" s="1"/>
  <c r="AE565"/>
  <c r="AF565" s="1"/>
  <c r="AB258"/>
  <c r="AC258" s="1"/>
  <c r="AE547"/>
  <c r="AF547" s="1"/>
  <c r="AB77"/>
  <c r="AC77" s="1"/>
  <c r="V111"/>
  <c r="W111" s="1"/>
  <c r="AE798"/>
  <c r="AF798" s="1"/>
  <c r="AE563"/>
  <c r="AF563" s="1"/>
  <c r="AE428"/>
  <c r="AF428" s="1"/>
  <c r="AB155"/>
  <c r="AC155" s="1"/>
  <c r="AB389"/>
  <c r="AC389" s="1"/>
  <c r="AB580"/>
  <c r="AC580" s="1"/>
  <c r="AE646"/>
  <c r="AF646" s="1"/>
  <c r="S248"/>
  <c r="T248" s="1"/>
  <c r="AB480"/>
  <c r="AC480" s="1"/>
  <c r="AB556"/>
  <c r="AC556" s="1"/>
  <c r="AE779"/>
  <c r="AF779" s="1"/>
  <c r="V271"/>
  <c r="W271" s="1"/>
  <c r="AE624"/>
  <c r="AF624" s="1"/>
  <c r="Y136"/>
  <c r="Z136" s="1"/>
  <c r="AE426"/>
  <c r="AF426" s="1"/>
  <c r="V160"/>
  <c r="W160" s="1"/>
  <c r="AB90"/>
  <c r="AC90" s="1"/>
  <c r="AE640"/>
  <c r="AF640" s="1"/>
  <c r="Y61"/>
  <c r="Z61" s="1"/>
  <c r="V153"/>
  <c r="W153" s="1"/>
  <c r="AB334"/>
  <c r="AC334" s="1"/>
  <c r="V37"/>
  <c r="W37" s="1"/>
  <c r="AE784"/>
  <c r="AF784" s="1"/>
  <c r="AE598"/>
  <c r="AF598" s="1"/>
  <c r="AE527"/>
  <c r="AF527" s="1"/>
  <c r="V191"/>
  <c r="W191" s="1"/>
  <c r="V274"/>
  <c r="W274" s="1"/>
  <c r="AB432"/>
  <c r="AC432" s="1"/>
  <c r="AB351"/>
  <c r="AC351" s="1"/>
  <c r="AE521"/>
  <c r="AF521" s="1"/>
  <c r="AE292"/>
  <c r="AF292" s="1"/>
  <c r="AE467"/>
  <c r="AF467" s="1"/>
  <c r="V84"/>
  <c r="W84" s="1"/>
  <c r="AE651"/>
  <c r="AF651" s="1"/>
  <c r="Y138"/>
  <c r="Z138" s="1"/>
  <c r="AE386"/>
  <c r="AF386" s="1"/>
  <c r="AB463"/>
  <c r="AC463" s="1"/>
  <c r="AE518"/>
  <c r="AF518" s="1"/>
  <c r="AE751"/>
  <c r="Y177"/>
  <c r="Z177" s="1"/>
  <c r="AE472"/>
  <c r="AF472" s="1"/>
  <c r="Y134"/>
  <c r="Z134" s="1"/>
  <c r="S222"/>
  <c r="T222" s="1"/>
  <c r="AE740"/>
  <c r="AF740" s="1"/>
  <c r="AB64"/>
  <c r="AC64" s="1"/>
  <c r="Y144"/>
  <c r="Z144" s="1"/>
  <c r="Y164"/>
  <c r="Z164" s="1"/>
  <c r="AE401"/>
  <c r="AF401" s="1"/>
  <c r="Y72"/>
  <c r="AB67"/>
  <c r="AC67" s="1"/>
  <c r="AE606"/>
  <c r="AF606" s="1"/>
  <c r="AB176"/>
  <c r="AC176" s="1"/>
  <c r="AE484"/>
  <c r="AF484" s="1"/>
  <c r="V737"/>
  <c r="W737" s="1"/>
  <c r="S81"/>
  <c r="T81" s="1"/>
  <c r="AB516"/>
  <c r="AC516" s="1"/>
  <c r="AE718"/>
  <c r="AF718" s="1"/>
  <c r="Y287"/>
  <c r="Z287" s="1"/>
  <c r="AB373"/>
  <c r="AC373" s="1"/>
  <c r="V75"/>
  <c r="W75" s="1"/>
  <c r="AE584"/>
  <c r="AF584" s="1"/>
  <c r="AE410"/>
  <c r="AF410" s="1"/>
  <c r="AE787"/>
  <c r="AF787" s="1"/>
  <c r="AB414"/>
  <c r="AC414" s="1"/>
  <c r="V156"/>
  <c r="W156" s="1"/>
  <c r="Y154"/>
  <c r="Z154" s="1"/>
  <c r="AE364"/>
  <c r="AF364" s="1"/>
  <c r="V233"/>
  <c r="W233" s="1"/>
  <c r="AB411"/>
  <c r="AC411" s="1"/>
  <c r="AE711"/>
  <c r="AF711" s="1"/>
  <c r="AE673"/>
  <c r="AF673" s="1"/>
  <c r="AE530"/>
  <c r="AF530" s="1"/>
  <c r="AE535"/>
  <c r="AF535" s="1"/>
  <c r="AE375"/>
  <c r="AF375" s="1"/>
  <c r="AE693"/>
  <c r="AF693" s="1"/>
  <c r="Y215"/>
  <c r="Z215" s="1"/>
  <c r="AB595"/>
  <c r="AC595" s="1"/>
  <c r="AE725"/>
  <c r="AF725" s="1"/>
  <c r="AE612"/>
  <c r="AF612" s="1"/>
  <c r="AB423"/>
  <c r="AC423" s="1"/>
  <c r="S240"/>
  <c r="T240" s="1"/>
  <c r="AE436"/>
  <c r="AF436" s="1"/>
  <c r="AB343"/>
  <c r="AC343" s="1"/>
  <c r="V268"/>
  <c r="W268" s="1"/>
  <c r="S115"/>
  <c r="T115" s="1"/>
  <c r="AB519"/>
  <c r="AC519" s="1"/>
  <c r="AE575"/>
  <c r="AF575" s="1"/>
  <c r="AB555"/>
  <c r="AC555" s="1"/>
  <c r="S139"/>
  <c r="T139" s="1"/>
  <c r="AE99"/>
  <c r="AF99" s="1"/>
  <c r="AE507"/>
  <c r="AF507" s="1"/>
  <c r="S206"/>
  <c r="T206" s="1"/>
  <c r="AB802"/>
  <c r="AC802" s="1"/>
  <c r="AE440"/>
  <c r="AF440" s="1"/>
  <c r="AE683"/>
  <c r="AF683" s="1"/>
  <c r="AB266"/>
  <c r="AC266" s="1"/>
  <c r="AB861"/>
  <c r="AC861" s="1"/>
  <c r="AE630"/>
  <c r="AF630" s="1"/>
  <c r="AE257"/>
  <c r="AF257" s="1"/>
  <c r="S183"/>
  <c r="T183" s="1"/>
  <c r="AE391"/>
  <c r="AF391" s="1"/>
  <c r="AB229"/>
  <c r="AC229" s="1"/>
  <c r="AE471"/>
  <c r="AF471" s="1"/>
  <c r="AE500"/>
  <c r="AF500" s="1"/>
  <c r="Y200"/>
  <c r="Z200" s="1"/>
  <c r="AB501"/>
  <c r="AC501" s="1"/>
  <c r="AE625"/>
  <c r="AF625" s="1"/>
  <c r="AE765"/>
  <c r="AF765" s="1"/>
  <c r="Y231"/>
  <c r="Z231" s="1"/>
  <c r="AE383"/>
  <c r="AF383" s="1"/>
  <c r="V286"/>
  <c r="W286" s="1"/>
  <c r="V322"/>
  <c r="W322" s="1"/>
  <c r="AE477"/>
  <c r="AF477" s="1"/>
  <c r="AE393"/>
  <c r="AF393" s="1"/>
  <c r="Y161"/>
  <c r="Z161" s="1"/>
  <c r="AE252"/>
  <c r="AF252" s="1"/>
  <c r="V171"/>
  <c r="W171" s="1"/>
  <c r="V314"/>
  <c r="W314" s="1"/>
  <c r="AE764"/>
  <c r="AF764" s="1"/>
  <c r="S102"/>
  <c r="T102" s="1"/>
  <c r="AE860"/>
  <c r="AF860" s="1"/>
  <c r="AE587"/>
  <c r="AF587" s="1"/>
  <c r="AB647"/>
  <c r="AC647" s="1"/>
  <c r="AB439"/>
  <c r="AC439" s="1"/>
  <c r="AE707"/>
  <c r="AF707" s="1"/>
  <c r="Y135"/>
  <c r="Z135" s="1"/>
  <c r="AB607"/>
  <c r="AC607" s="1"/>
  <c r="AE583"/>
  <c r="AF583" s="1"/>
  <c r="AE475"/>
  <c r="AF475" s="1"/>
  <c r="S128"/>
  <c r="T128" s="1"/>
  <c r="Y113"/>
  <c r="Z113" s="1"/>
  <c r="V203"/>
  <c r="W203" s="1"/>
  <c r="AE542"/>
  <c r="AF542" s="1"/>
  <c r="Y15"/>
  <c r="Z15" s="1"/>
  <c r="AE822"/>
  <c r="AF822" s="1"/>
  <c r="S119"/>
  <c r="T119" s="1"/>
  <c r="V175"/>
  <c r="W175" s="1"/>
  <c r="AE667"/>
  <c r="AF667" s="1"/>
  <c r="AB582"/>
  <c r="AC582" s="1"/>
  <c r="AB638"/>
  <c r="AC638" s="1"/>
  <c r="V205"/>
  <c r="W205" s="1"/>
  <c r="AB538"/>
  <c r="AC538" s="1"/>
  <c r="AE800"/>
  <c r="AF800" s="1"/>
  <c r="Y107"/>
  <c r="Z107" s="1"/>
  <c r="AE546"/>
  <c r="AF546" s="1"/>
  <c r="AE770"/>
  <c r="AF770" s="1"/>
  <c r="S91"/>
  <c r="T91" s="1"/>
  <c r="AE522"/>
  <c r="AF522" s="1"/>
  <c r="Y106"/>
  <c r="Z106" s="1"/>
  <c r="AE162"/>
  <c r="AF162" s="1"/>
  <c r="S126"/>
  <c r="T126" s="1"/>
  <c r="Y124"/>
  <c r="Z124" s="1"/>
  <c r="AB125"/>
  <c r="AC125" s="1"/>
  <c r="AB347"/>
  <c r="AC347" s="1"/>
  <c r="S104"/>
  <c r="T104" s="1"/>
  <c r="T746"/>
  <c r="V65"/>
  <c r="Y462"/>
  <c r="Z462" s="1"/>
  <c r="T372"/>
  <c r="V6"/>
  <c r="W6" s="1"/>
  <c r="AB780"/>
  <c r="AC780" s="1"/>
  <c r="AE655"/>
  <c r="AF655" s="1"/>
  <c r="P151"/>
  <c r="V146"/>
  <c r="W146" s="1"/>
  <c r="Y50"/>
  <c r="Z50" s="1"/>
  <c r="Y517"/>
  <c r="Z517" s="1"/>
  <c r="Y353"/>
  <c r="Z353" s="1"/>
  <c r="W455"/>
  <c r="Y378"/>
  <c r="Z378" s="1"/>
  <c r="S132"/>
  <c r="T132" s="1"/>
  <c r="Y247"/>
  <c r="Z247" s="1"/>
  <c r="AE297"/>
  <c r="AF297" s="1"/>
  <c r="S98"/>
  <c r="T98" s="1"/>
  <c r="AE365"/>
  <c r="AF365" s="1"/>
  <c r="AE515"/>
  <c r="AF515" s="1"/>
  <c r="AE699"/>
  <c r="AF699" s="1"/>
  <c r="AA337"/>
  <c r="AE695"/>
  <c r="AF695" s="1"/>
  <c r="AE355"/>
  <c r="AF355" s="1"/>
  <c r="Y51"/>
  <c r="Z51" s="1"/>
  <c r="Y39"/>
  <c r="Z39" s="1"/>
  <c r="AE618"/>
  <c r="AF618" s="1"/>
  <c r="V225"/>
  <c r="W225" s="1"/>
  <c r="V108"/>
  <c r="W108" s="1"/>
  <c r="AE469"/>
  <c r="AF469" s="1"/>
  <c r="AB557"/>
  <c r="AC557" s="1"/>
  <c r="AB783"/>
  <c r="AC783" s="1"/>
  <c r="AE341"/>
  <c r="AF341" s="1"/>
  <c r="S112"/>
  <c r="T112" s="1"/>
  <c r="AB434"/>
  <c r="AC434" s="1"/>
  <c r="Y349"/>
  <c r="Z349" s="1"/>
  <c r="AE404"/>
  <c r="AF404" s="1"/>
  <c r="S60"/>
  <c r="T60" s="1"/>
  <c r="V121"/>
  <c r="W121" s="1"/>
  <c r="AE808"/>
  <c r="AE392"/>
  <c r="AF392" s="1"/>
  <c r="AE665"/>
  <c r="AF665" s="1"/>
  <c r="AB799"/>
  <c r="AC799" s="1"/>
  <c r="S133"/>
  <c r="T133" s="1"/>
  <c r="AB714"/>
  <c r="AC714" s="1"/>
  <c r="AE736"/>
  <c r="AF736" s="1"/>
  <c r="V22"/>
  <c r="W22" s="1"/>
  <c r="AE92"/>
  <c r="AF92" s="1"/>
  <c r="AE760"/>
  <c r="AF760" s="1"/>
  <c r="AB539"/>
  <c r="AC539" s="1"/>
  <c r="AB157"/>
  <c r="AC157" s="1"/>
  <c r="AB610"/>
  <c r="AC610" s="1"/>
  <c r="Y559"/>
  <c r="Z559" s="1"/>
  <c r="AB703"/>
  <c r="AC703" s="1"/>
  <c r="AB781"/>
  <c r="AC781" s="1"/>
  <c r="S165"/>
  <c r="T165" s="1"/>
  <c r="AE597"/>
  <c r="AF597" s="1"/>
  <c r="AB63"/>
  <c r="AC63" s="1"/>
  <c r="AE648"/>
  <c r="AF648" s="1"/>
  <c r="AE299"/>
  <c r="AF299" s="1"/>
  <c r="AE743"/>
  <c r="AF743" s="1"/>
  <c r="AB348"/>
  <c r="AC348" s="1"/>
  <c r="AE509"/>
  <c r="AF509" s="1"/>
  <c r="Y752"/>
  <c r="Z752" s="1"/>
  <c r="AE723"/>
  <c r="AF723" s="1"/>
  <c r="Y10"/>
  <c r="Z10" s="1"/>
  <c r="V28"/>
  <c r="W28" s="1"/>
  <c r="V604"/>
  <c r="AE543"/>
  <c r="AF543" s="1"/>
  <c r="P218"/>
  <c r="Q218" s="1"/>
  <c r="Q759"/>
  <c r="V95"/>
  <c r="W95" s="1"/>
  <c r="AE94"/>
  <c r="AF94" s="1"/>
  <c r="AE562"/>
  <c r="AF562" s="1"/>
  <c r="AE445"/>
  <c r="AF445" s="1"/>
  <c r="Y243"/>
  <c r="Z243" s="1"/>
  <c r="AE724"/>
  <c r="AF724" s="1"/>
  <c r="AE747"/>
  <c r="AE298"/>
  <c r="AF298" s="1"/>
  <c r="AE585"/>
  <c r="AF585" s="1"/>
  <c r="Y35"/>
  <c r="Z35" s="1"/>
  <c r="S85"/>
  <c r="T85" s="1"/>
  <c r="AE441"/>
  <c r="AF441" s="1"/>
  <c r="Y352"/>
  <c r="Z352" s="1"/>
  <c r="S654"/>
  <c r="V11"/>
  <c r="AE323"/>
  <c r="AF323" s="1"/>
  <c r="Y8"/>
  <c r="Z8" s="1"/>
  <c r="AE670"/>
  <c r="AF670" s="1"/>
  <c r="V100"/>
  <c r="W100" s="1"/>
  <c r="S2"/>
  <c r="AE685"/>
  <c r="AF685" s="1"/>
  <c r="Y123"/>
  <c r="Z123" s="1"/>
  <c r="Y88"/>
  <c r="Z88" s="1"/>
  <c r="AE442"/>
  <c r="AF442" s="1"/>
  <c r="AE332"/>
  <c r="AF332" s="1"/>
  <c r="AE346"/>
  <c r="AF346" s="1"/>
  <c r="AB561"/>
  <c r="AC561" s="1"/>
  <c r="AE672"/>
  <c r="AF672" s="1"/>
  <c r="S3"/>
  <c r="AE569"/>
  <c r="AF569" s="1"/>
  <c r="AE417"/>
  <c r="AF417" s="1"/>
  <c r="AE701"/>
  <c r="AF701" s="1"/>
  <c r="AE633"/>
  <c r="AF633" s="1"/>
  <c r="S148"/>
  <c r="T148" s="1"/>
  <c r="AB505"/>
  <c r="AC505" s="1"/>
  <c r="AE560"/>
  <c r="AF560" s="1"/>
  <c r="AE450"/>
  <c r="AF450" s="1"/>
  <c r="Y762"/>
  <c r="Z762" s="1"/>
  <c r="AE644"/>
  <c r="AF644" s="1"/>
  <c r="AE792"/>
  <c r="AF792" s="1"/>
  <c r="AB265"/>
  <c r="AC265" s="1"/>
  <c r="Y192"/>
  <c r="Z192" s="1"/>
  <c r="V76"/>
  <c r="W76" s="1"/>
  <c r="V180"/>
  <c r="W180" s="1"/>
  <c r="AB435"/>
  <c r="AC435" s="1"/>
  <c r="AB525"/>
  <c r="AC525" s="1"/>
  <c r="AB773"/>
  <c r="AC773" s="1"/>
  <c r="AB788"/>
  <c r="AC788" s="1"/>
  <c r="AE856"/>
  <c r="AF856" s="1"/>
  <c r="V131"/>
  <c r="W131" s="1"/>
  <c r="AB676"/>
  <c r="AC676" s="1"/>
  <c r="S211"/>
  <c r="T211" s="1"/>
  <c r="Y186"/>
  <c r="Z186" s="1"/>
  <c r="AB536"/>
  <c r="AC536" s="1"/>
  <c r="V174"/>
  <c r="W174" s="1"/>
  <c r="Y179"/>
  <c r="Z179" s="1"/>
  <c r="Y188"/>
  <c r="Z188" s="1"/>
  <c r="AE596"/>
  <c r="AF596" s="1"/>
  <c r="AE433"/>
  <c r="AF433" s="1"/>
  <c r="Y71"/>
  <c r="Z71" s="1"/>
  <c r="Y59"/>
  <c r="Z59" s="1"/>
  <c r="AE617"/>
  <c r="AF617" s="1"/>
  <c r="AE460"/>
  <c r="AF460" s="1"/>
  <c r="AE384"/>
  <c r="AF384" s="1"/>
  <c r="AE214"/>
  <c r="AF214" s="1"/>
  <c r="AE429"/>
  <c r="AF429" s="1"/>
  <c r="AB54"/>
  <c r="AC54" s="1"/>
  <c r="AE705"/>
  <c r="AF705" s="1"/>
  <c r="AE704"/>
  <c r="AF704" s="1"/>
  <c r="AE692"/>
  <c r="AF692" s="1"/>
  <c r="AE473"/>
  <c r="AF473" s="1"/>
  <c r="Q18"/>
  <c r="Q13"/>
  <c r="AE512"/>
  <c r="AF512" s="1"/>
  <c r="V250"/>
  <c r="W250" s="1"/>
  <c r="AE706"/>
  <c r="AF706" s="1"/>
  <c r="AB476"/>
  <c r="AC476" s="1"/>
  <c r="AE456"/>
  <c r="AF456" s="1"/>
  <c r="AB634"/>
  <c r="AC634" s="1"/>
  <c r="AE553"/>
  <c r="AF553" s="1"/>
  <c r="AE690"/>
  <c r="AF690" s="1"/>
  <c r="V31"/>
  <c r="W31" s="1"/>
  <c r="S142"/>
  <c r="T142" s="1"/>
  <c r="Y281"/>
  <c r="Z281" s="1"/>
  <c r="V279"/>
  <c r="W279" s="1"/>
  <c r="V199"/>
  <c r="W199" s="1"/>
  <c r="Y109"/>
  <c r="Z109" s="1"/>
  <c r="AE529"/>
  <c r="AF529" s="1"/>
  <c r="AB586"/>
  <c r="AC586" s="1"/>
  <c r="AB385"/>
  <c r="AC385" s="1"/>
  <c r="T755"/>
  <c r="AE513"/>
  <c r="AF513" s="1"/>
  <c r="AE413"/>
  <c r="AF413" s="1"/>
  <c r="U213"/>
  <c r="V213" s="1"/>
  <c r="W213" s="1"/>
  <c r="AB219"/>
  <c r="AC219" s="1"/>
  <c r="AE83"/>
  <c r="AF83" s="1"/>
  <c r="AB328"/>
  <c r="AC328" s="1"/>
  <c r="AB345"/>
  <c r="AC345" s="1"/>
  <c r="Y397"/>
  <c r="Z397" s="1"/>
  <c r="V9"/>
  <c r="W9" s="1"/>
  <c r="Y79"/>
  <c r="Z79" s="1"/>
  <c r="AE368"/>
  <c r="AF368" s="1"/>
  <c r="AB381"/>
  <c r="AC381" s="1"/>
  <c r="AB333"/>
  <c r="AC333" s="1"/>
  <c r="AE626"/>
  <c r="AF626" s="1"/>
  <c r="AE503"/>
  <c r="AF503" s="1"/>
  <c r="AE817"/>
  <c r="AF817" s="1"/>
  <c r="Y21"/>
  <c r="Z21" s="1"/>
  <c r="AE720"/>
  <c r="AF720" s="1"/>
  <c r="Y168"/>
  <c r="Z168" s="1"/>
  <c r="AE615"/>
  <c r="AF615" s="1"/>
  <c r="S73"/>
  <c r="T73" s="1"/>
  <c r="AB276"/>
  <c r="AC276" s="1"/>
  <c r="S182"/>
  <c r="T182" s="1"/>
  <c r="V4"/>
  <c r="W4" s="1"/>
  <c r="AE551"/>
  <c r="AF551" s="1"/>
  <c r="AB105"/>
  <c r="AC105" s="1"/>
  <c r="AB68"/>
  <c r="AC68" s="1"/>
  <c r="AB581"/>
  <c r="AC581" s="1"/>
  <c r="AB579"/>
  <c r="AC579" s="1"/>
  <c r="V166"/>
  <c r="W166" s="1"/>
  <c r="AE696"/>
  <c r="AF696" s="1"/>
  <c r="AB210"/>
  <c r="AC210" s="1"/>
  <c r="AE452"/>
  <c r="AF452" s="1"/>
  <c r="AB731"/>
  <c r="AC731" s="1"/>
  <c r="AE412"/>
  <c r="AF412" s="1"/>
  <c r="Y195"/>
  <c r="Z195" s="1"/>
  <c r="AE362"/>
  <c r="AF362" s="1"/>
  <c r="V239"/>
  <c r="W239" s="1"/>
  <c r="AE402"/>
  <c r="AF402" s="1"/>
  <c r="AE726"/>
  <c r="AF726" s="1"/>
  <c r="Y120"/>
  <c r="Z120" s="1"/>
  <c r="Y267"/>
  <c r="Z267" s="1"/>
  <c r="AE772"/>
  <c r="AF772" s="1"/>
  <c r="AE438"/>
  <c r="AF438" s="1"/>
  <c r="AB415"/>
  <c r="AC415" s="1"/>
  <c r="AE738"/>
  <c r="AF738" s="1"/>
  <c r="AB453"/>
  <c r="AC453" s="1"/>
  <c r="Y34"/>
  <c r="Z34" s="1"/>
  <c r="AE709"/>
  <c r="AF709" s="1"/>
  <c r="AB669"/>
  <c r="AC669" s="1"/>
  <c r="Y184"/>
  <c r="Z184" s="1"/>
  <c r="AB255"/>
  <c r="AC255" s="1"/>
  <c r="AB17"/>
  <c r="AC17" s="1"/>
  <c r="AE727"/>
  <c r="AF727" s="1"/>
  <c r="AB424"/>
  <c r="AC424" s="1"/>
  <c r="V230"/>
  <c r="W230" s="1"/>
  <c r="AB458"/>
  <c r="AC458" s="1"/>
  <c r="AE482"/>
  <c r="AF482" s="1"/>
  <c r="AE713"/>
  <c r="AF713" s="1"/>
  <c r="Y47"/>
  <c r="Z47" s="1"/>
  <c r="Y27"/>
  <c r="Z27" s="1"/>
  <c r="AE715"/>
  <c r="AF715" s="1"/>
  <c r="V178"/>
  <c r="W178" s="1"/>
  <c r="AE544"/>
  <c r="AF544" s="1"/>
  <c r="AE702"/>
  <c r="AF702" s="1"/>
  <c r="AE295"/>
  <c r="AF295" s="1"/>
  <c r="V763"/>
  <c r="W763" s="1"/>
  <c r="V140"/>
  <c r="W140" s="1"/>
  <c r="AB408"/>
  <c r="AC408" s="1"/>
  <c r="AB465"/>
  <c r="AC465" s="1"/>
  <c r="AB437"/>
  <c r="AC437" s="1"/>
  <c r="AB508"/>
  <c r="AC508" s="1"/>
  <c r="Q69"/>
  <c r="Z591"/>
  <c r="Z58"/>
  <c r="Q863"/>
  <c r="W327"/>
  <c r="Y272"/>
  <c r="Z272" s="1"/>
  <c r="AB366"/>
  <c r="AC366" s="1"/>
  <c r="AE550"/>
  <c r="AF550" s="1"/>
  <c r="S167"/>
  <c r="T167" s="1"/>
  <c r="AE741"/>
  <c r="AF741" s="1"/>
  <c r="AE668"/>
  <c r="AF668" s="1"/>
  <c r="AB790"/>
  <c r="AC790" s="1"/>
  <c r="M571"/>
  <c r="M712"/>
  <c r="AE479"/>
  <c r="AF479" s="1"/>
  <c r="AE526"/>
  <c r="AF526" s="1"/>
  <c r="Y116"/>
  <c r="Z116" s="1"/>
  <c r="AB221"/>
  <c r="AC221" s="1"/>
  <c r="S46"/>
  <c r="T46" s="1"/>
  <c r="S24"/>
  <c r="T24" s="1"/>
  <c r="AB331"/>
  <c r="AC331" s="1"/>
  <c r="V29"/>
  <c r="W29" s="1"/>
  <c r="P145"/>
  <c r="Y394"/>
  <c r="Z394" s="1"/>
  <c r="P66"/>
  <c r="Q66" s="1"/>
  <c r="S285"/>
  <c r="T285" s="1"/>
  <c r="P661"/>
  <c r="Q661" s="1"/>
  <c r="T661" s="1"/>
  <c r="Y611"/>
  <c r="V454"/>
  <c r="W454" s="1"/>
  <c r="P103"/>
  <c r="Q103" s="1"/>
  <c r="S14"/>
  <c r="T350"/>
  <c r="P7"/>
  <c r="U396"/>
  <c r="Y321"/>
  <c r="Z321" s="1"/>
  <c r="AB270"/>
  <c r="AC270" s="1"/>
  <c r="Y152"/>
  <c r="Z152" s="1"/>
  <c r="Y89"/>
  <c r="Z89" s="1"/>
  <c r="N571"/>
  <c r="AE675"/>
  <c r="AF675" s="1"/>
  <c r="AE451"/>
  <c r="AF451" s="1"/>
  <c r="AB481"/>
  <c r="AC481" s="1"/>
  <c r="AE564"/>
  <c r="AF564" s="1"/>
  <c r="Y141"/>
  <c r="Z141" s="1"/>
  <c r="AE722"/>
  <c r="AF722" s="1"/>
  <c r="AE466"/>
  <c r="AF466" s="1"/>
  <c r="V204"/>
  <c r="W204" s="1"/>
  <c r="AE628"/>
  <c r="AF628" s="1"/>
  <c r="AE627"/>
  <c r="AF627" s="1"/>
  <c r="Y169"/>
  <c r="Z169" s="1"/>
  <c r="AE637"/>
  <c r="AF637" s="1"/>
  <c r="AE766"/>
  <c r="AF766" s="1"/>
  <c r="Z45"/>
  <c r="Q19"/>
  <c r="Q5"/>
  <c r="T70"/>
  <c r="T117"/>
  <c r="Z359"/>
  <c r="AD137" i="3"/>
  <c r="U88" i="1"/>
  <c r="U92"/>
  <c r="AE794" i="3"/>
  <c r="AF794" s="1"/>
  <c r="AE494"/>
  <c r="AF494" s="1"/>
  <c r="AF636" i="4" l="1"/>
  <c r="V88" i="1"/>
  <c r="AC862" i="4"/>
  <c r="O10" i="2" s="1"/>
  <c r="AF853" i="4"/>
  <c r="AF808"/>
  <c r="AF852" s="1"/>
  <c r="Q9" i="2" s="1"/>
  <c r="P9" s="1"/>
  <c r="R9" s="1"/>
  <c r="AE852" i="4"/>
  <c r="AF747"/>
  <c r="AF751"/>
  <c r="AB152"/>
  <c r="AC152" s="1"/>
  <c r="Y29"/>
  <c r="Z29" s="1"/>
  <c r="AB321"/>
  <c r="AC321" s="1"/>
  <c r="AE366"/>
  <c r="AF366" s="1"/>
  <c r="AE437"/>
  <c r="AF437" s="1"/>
  <c r="Y763"/>
  <c r="Z763" s="1"/>
  <c r="Y178"/>
  <c r="Z178" s="1"/>
  <c r="AB47"/>
  <c r="AC47" s="1"/>
  <c r="Y230"/>
  <c r="Z230" s="1"/>
  <c r="AB168"/>
  <c r="AC168" s="1"/>
  <c r="AB397"/>
  <c r="AC397" s="1"/>
  <c r="AE219"/>
  <c r="AF219" s="1"/>
  <c r="AB71"/>
  <c r="AC71" s="1"/>
  <c r="AB188"/>
  <c r="AC188" s="1"/>
  <c r="AE676"/>
  <c r="AF676" s="1"/>
  <c r="V148"/>
  <c r="W148" s="1"/>
  <c r="V133"/>
  <c r="W133" s="1"/>
  <c r="V60"/>
  <c r="W60" s="1"/>
  <c r="AB378"/>
  <c r="AC378" s="1"/>
  <c r="AB50"/>
  <c r="AC50" s="1"/>
  <c r="V104"/>
  <c r="W104" s="1"/>
  <c r="V139"/>
  <c r="W139" s="1"/>
  <c r="AE519"/>
  <c r="AF519" s="1"/>
  <c r="V240"/>
  <c r="W240" s="1"/>
  <c r="AE595"/>
  <c r="AF595" s="1"/>
  <c r="AE411"/>
  <c r="AF411" s="1"/>
  <c r="AB154"/>
  <c r="AC154" s="1"/>
  <c r="AE414"/>
  <c r="AF414" s="1"/>
  <c r="AE176"/>
  <c r="AF176" s="1"/>
  <c r="AB144"/>
  <c r="AC144" s="1"/>
  <c r="AE432"/>
  <c r="AF432" s="1"/>
  <c r="Y37"/>
  <c r="Z37" s="1"/>
  <c r="AB61"/>
  <c r="AC61" s="1"/>
  <c r="AE556"/>
  <c r="AF556" s="1"/>
  <c r="AE170"/>
  <c r="AF170" s="1"/>
  <c r="AE137"/>
  <c r="AF137" s="1"/>
  <c r="Y127"/>
  <c r="Z127" s="1"/>
  <c r="AB147"/>
  <c r="AC147" s="1"/>
  <c r="Y789"/>
  <c r="Z789" s="1"/>
  <c r="AE532"/>
  <c r="AF532" s="1"/>
  <c r="V80"/>
  <c r="W80" s="1"/>
  <c r="AE679"/>
  <c r="AF679" s="1"/>
  <c r="AB116"/>
  <c r="AC116" s="1"/>
  <c r="V46"/>
  <c r="W46" s="1"/>
  <c r="Y204"/>
  <c r="Z204" s="1"/>
  <c r="Y110"/>
  <c r="Z110" s="1"/>
  <c r="AE508"/>
  <c r="AF508" s="1"/>
  <c r="Y140"/>
  <c r="Z140" s="1"/>
  <c r="AE458"/>
  <c r="AF458" s="1"/>
  <c r="AE276"/>
  <c r="AF276" s="1"/>
  <c r="AB21"/>
  <c r="AC21" s="1"/>
  <c r="AE586"/>
  <c r="AF586" s="1"/>
  <c r="AE476"/>
  <c r="AF476" s="1"/>
  <c r="V211"/>
  <c r="W211" s="1"/>
  <c r="AE525"/>
  <c r="AF525" s="1"/>
  <c r="AB88"/>
  <c r="AC88" s="1"/>
  <c r="AB35"/>
  <c r="AC35" s="1"/>
  <c r="Y95"/>
  <c r="Z95" s="1"/>
  <c r="AE610"/>
  <c r="AF610" s="1"/>
  <c r="AE714"/>
  <c r="AF714" s="1"/>
  <c r="Y121"/>
  <c r="Z121" s="1"/>
  <c r="AB349"/>
  <c r="AC349" s="1"/>
  <c r="AB517"/>
  <c r="AC517" s="1"/>
  <c r="V126"/>
  <c r="W126" s="1"/>
  <c r="AB161"/>
  <c r="AC161" s="1"/>
  <c r="AE501"/>
  <c r="AF501" s="1"/>
  <c r="Y75"/>
  <c r="Z75" s="1"/>
  <c r="AB138"/>
  <c r="AC138" s="1"/>
  <c r="AE351"/>
  <c r="AF351" s="1"/>
  <c r="Y143"/>
  <c r="Z143" s="1"/>
  <c r="AE797"/>
  <c r="AF797" s="1"/>
  <c r="AB122"/>
  <c r="AC122" s="1"/>
  <c r="AE622"/>
  <c r="AF622" s="1"/>
  <c r="Y114"/>
  <c r="Z114" s="1"/>
  <c r="AB189"/>
  <c r="AC189" s="1"/>
  <c r="Y57"/>
  <c r="Z57" s="1"/>
  <c r="Y223"/>
  <c r="Z223" s="1"/>
  <c r="AE16"/>
  <c r="AF16" s="1"/>
  <c r="V196"/>
  <c r="W196" s="1"/>
  <c r="AE739"/>
  <c r="AF739" s="1"/>
  <c r="V216"/>
  <c r="W216" s="1"/>
  <c r="AE495"/>
  <c r="AF495" s="1"/>
  <c r="AE408"/>
  <c r="AF408" s="1"/>
  <c r="Y239"/>
  <c r="Z239" s="1"/>
  <c r="V182"/>
  <c r="W182" s="1"/>
  <c r="AE328"/>
  <c r="AF328" s="1"/>
  <c r="AE385"/>
  <c r="AF385" s="1"/>
  <c r="Y199"/>
  <c r="Z199" s="1"/>
  <c r="V142"/>
  <c r="W142" s="1"/>
  <c r="Y250"/>
  <c r="Z250" s="1"/>
  <c r="AB186"/>
  <c r="AC186" s="1"/>
  <c r="AE773"/>
  <c r="AF773" s="1"/>
  <c r="Y180"/>
  <c r="Z180" s="1"/>
  <c r="AE265"/>
  <c r="AF265" s="1"/>
  <c r="AB559"/>
  <c r="AC559" s="1"/>
  <c r="AE557"/>
  <c r="AF557" s="1"/>
  <c r="Y225"/>
  <c r="Z225" s="1"/>
  <c r="AB353"/>
  <c r="AC353" s="1"/>
  <c r="V119"/>
  <c r="W119" s="1"/>
  <c r="AB135"/>
  <c r="AC135" s="1"/>
  <c r="AE647"/>
  <c r="AF647" s="1"/>
  <c r="Y286"/>
  <c r="Z286" s="1"/>
  <c r="Y737"/>
  <c r="AE67"/>
  <c r="AF67" s="1"/>
  <c r="AE155"/>
  <c r="AF155" s="1"/>
  <c r="AE263"/>
  <c r="AF263" s="1"/>
  <c r="Y284"/>
  <c r="Z284" s="1"/>
  <c r="AE431"/>
  <c r="AF431" s="1"/>
  <c r="Y238"/>
  <c r="Z238" s="1"/>
  <c r="AE52"/>
  <c r="AF52" s="1"/>
  <c r="AE504"/>
  <c r="AF504" s="1"/>
  <c r="AB249"/>
  <c r="AC249" s="1"/>
  <c r="AE540"/>
  <c r="AF540" s="1"/>
  <c r="Y96"/>
  <c r="Z96" s="1"/>
  <c r="AE416"/>
  <c r="AF416" s="1"/>
  <c r="Y56"/>
  <c r="Z56" s="1"/>
  <c r="AB44"/>
  <c r="AC44" s="1"/>
  <c r="AB278"/>
  <c r="AC278" s="1"/>
  <c r="AB241"/>
  <c r="AC241" s="1"/>
  <c r="Y36"/>
  <c r="Z36" s="1"/>
  <c r="AE552"/>
  <c r="AF552" s="1"/>
  <c r="AE782"/>
  <c r="AF782" s="1"/>
  <c r="AE221"/>
  <c r="AF221" s="1"/>
  <c r="AE790"/>
  <c r="AF790" s="1"/>
  <c r="AE465"/>
  <c r="AF465" s="1"/>
  <c r="Y166"/>
  <c r="Z166" s="1"/>
  <c r="AE345"/>
  <c r="AF345" s="1"/>
  <c r="Y213"/>
  <c r="Z213" s="1"/>
  <c r="AB109"/>
  <c r="AC109" s="1"/>
  <c r="AB281"/>
  <c r="AC281" s="1"/>
  <c r="AE634"/>
  <c r="AF634" s="1"/>
  <c r="AE536"/>
  <c r="AF536" s="1"/>
  <c r="AE788"/>
  <c r="AF788" s="1"/>
  <c r="AB192"/>
  <c r="AC192" s="1"/>
  <c r="AB762"/>
  <c r="AC762" s="1"/>
  <c r="AB8"/>
  <c r="AC8" s="1"/>
  <c r="AB243"/>
  <c r="AC243" s="1"/>
  <c r="AE783"/>
  <c r="AF783" s="1"/>
  <c r="Y108"/>
  <c r="Z108" s="1"/>
  <c r="AB247"/>
  <c r="AC247" s="1"/>
  <c r="AB462"/>
  <c r="AC462" s="1"/>
  <c r="AB106"/>
  <c r="AC106" s="1"/>
  <c r="AB113"/>
  <c r="AC113" s="1"/>
  <c r="AE423"/>
  <c r="AF423" s="1"/>
  <c r="AE463"/>
  <c r="AF463" s="1"/>
  <c r="Y84"/>
  <c r="Z84" s="1"/>
  <c r="Y274"/>
  <c r="Z274" s="1"/>
  <c r="AE334"/>
  <c r="AF334" s="1"/>
  <c r="Y271"/>
  <c r="Z271" s="1"/>
  <c r="AE258"/>
  <c r="AF258" s="1"/>
  <c r="Y173"/>
  <c r="Z173" s="1"/>
  <c r="AE187"/>
  <c r="AF187" s="1"/>
  <c r="V32"/>
  <c r="W32" s="1"/>
  <c r="AB280"/>
  <c r="AC280" s="1"/>
  <c r="AE656"/>
  <c r="AF656" s="1"/>
  <c r="Y208"/>
  <c r="Z208" s="1"/>
  <c r="AE511"/>
  <c r="AF511" s="1"/>
  <c r="AE514"/>
  <c r="AF514" s="1"/>
  <c r="AE419"/>
  <c r="AF419" s="1"/>
  <c r="AE534"/>
  <c r="AF534" s="1"/>
  <c r="AE55"/>
  <c r="AF55" s="1"/>
  <c r="V70"/>
  <c r="W70" s="1"/>
  <c r="AE270"/>
  <c r="AF270" s="1"/>
  <c r="AB359"/>
  <c r="AC359" s="1"/>
  <c r="AB45"/>
  <c r="AC45" s="1"/>
  <c r="V396"/>
  <c r="U350"/>
  <c r="AB58"/>
  <c r="AC58" s="1"/>
  <c r="AE453"/>
  <c r="AF453" s="1"/>
  <c r="AE68"/>
  <c r="AF68" s="1"/>
  <c r="AE333"/>
  <c r="AF333" s="1"/>
  <c r="Y279"/>
  <c r="Z279" s="1"/>
  <c r="AE54"/>
  <c r="AF54" s="1"/>
  <c r="AE435"/>
  <c r="AF435" s="1"/>
  <c r="AE505"/>
  <c r="AF505" s="1"/>
  <c r="S5"/>
  <c r="T5" s="1"/>
  <c r="P571"/>
  <c r="S863"/>
  <c r="S69"/>
  <c r="V755"/>
  <c r="S13"/>
  <c r="AE347"/>
  <c r="AF347" s="1"/>
  <c r="AB40"/>
  <c r="AC40" s="1"/>
  <c r="AB237"/>
  <c r="AC237" s="1"/>
  <c r="AE859"/>
  <c r="AF859" s="1"/>
  <c r="AE256"/>
  <c r="AF256" s="1"/>
  <c r="V228"/>
  <c r="W228" s="1"/>
  <c r="AB190"/>
  <c r="AC190" s="1"/>
  <c r="Y227"/>
  <c r="Z227" s="1"/>
  <c r="AE785"/>
  <c r="AF785" s="1"/>
  <c r="Y38"/>
  <c r="Z38" s="1"/>
  <c r="Y150"/>
  <c r="Z150" s="1"/>
  <c r="AE758"/>
  <c r="AF758" s="1"/>
  <c r="AE342"/>
  <c r="AF342" s="1"/>
  <c r="AE677"/>
  <c r="AF677" s="1"/>
  <c r="AB686"/>
  <c r="AC686" s="1"/>
  <c r="AE753"/>
  <c r="AF753" s="1"/>
  <c r="T14"/>
  <c r="Z611"/>
  <c r="Q145"/>
  <c r="T3"/>
  <c r="T2"/>
  <c r="T654"/>
  <c r="Q151"/>
  <c r="AB141"/>
  <c r="AC141" s="1"/>
  <c r="S103"/>
  <c r="Y454"/>
  <c r="V661"/>
  <c r="W661" s="1"/>
  <c r="S66"/>
  <c r="V24"/>
  <c r="W24" s="1"/>
  <c r="AB272"/>
  <c r="AC272" s="1"/>
  <c r="Y327"/>
  <c r="AE255"/>
  <c r="AF255" s="1"/>
  <c r="AE669"/>
  <c r="AF669" s="1"/>
  <c r="AB34"/>
  <c r="AC34" s="1"/>
  <c r="AB267"/>
  <c r="AC267" s="1"/>
  <c r="AB195"/>
  <c r="AC195" s="1"/>
  <c r="AE731"/>
  <c r="AF731" s="1"/>
  <c r="AE210"/>
  <c r="AF210" s="1"/>
  <c r="AE581"/>
  <c r="AF581" s="1"/>
  <c r="AE105"/>
  <c r="AF105" s="1"/>
  <c r="Y4"/>
  <c r="Z4" s="1"/>
  <c r="AE381"/>
  <c r="AF381" s="1"/>
  <c r="AB79"/>
  <c r="AC79" s="1"/>
  <c r="Y31"/>
  <c r="Z31" s="1"/>
  <c r="AB179"/>
  <c r="AC179" s="1"/>
  <c r="Y131"/>
  <c r="Z131" s="1"/>
  <c r="AE561"/>
  <c r="AF561" s="1"/>
  <c r="Y100"/>
  <c r="Z100" s="1"/>
  <c r="AB352"/>
  <c r="AC352" s="1"/>
  <c r="V85"/>
  <c r="T759"/>
  <c r="Y28"/>
  <c r="Z28" s="1"/>
  <c r="AB752"/>
  <c r="AC752" s="1"/>
  <c r="AE781"/>
  <c r="AF781" s="1"/>
  <c r="AE157"/>
  <c r="AF157" s="1"/>
  <c r="Y22"/>
  <c r="Z22" s="1"/>
  <c r="V112"/>
  <c r="W112" s="1"/>
  <c r="AB39"/>
  <c r="AC39" s="1"/>
  <c r="V132"/>
  <c r="W132" s="1"/>
  <c r="Y146"/>
  <c r="Z146" s="1"/>
  <c r="Y6"/>
  <c r="Z6" s="1"/>
  <c r="W372"/>
  <c r="AB124"/>
  <c r="AC124" s="1"/>
  <c r="AB107"/>
  <c r="AC107" s="1"/>
  <c r="AE538"/>
  <c r="AF538" s="1"/>
  <c r="Y205"/>
  <c r="Z205" s="1"/>
  <c r="AE582"/>
  <c r="AF582" s="1"/>
  <c r="Y175"/>
  <c r="Z175" s="1"/>
  <c r="AE607"/>
  <c r="AF607" s="1"/>
  <c r="Y171"/>
  <c r="Z171" s="1"/>
  <c r="AB231"/>
  <c r="AC231" s="1"/>
  <c r="AB200"/>
  <c r="AC200" s="1"/>
  <c r="AE861"/>
  <c r="AF861" s="1"/>
  <c r="AE802"/>
  <c r="AF802" s="1"/>
  <c r="V115"/>
  <c r="W115" s="1"/>
  <c r="AE343"/>
  <c r="AF343" s="1"/>
  <c r="AB215"/>
  <c r="AC215" s="1"/>
  <c r="Y233"/>
  <c r="Z233" s="1"/>
  <c r="AB287"/>
  <c r="AC287" s="1"/>
  <c r="AE516"/>
  <c r="AF516" s="1"/>
  <c r="AB164"/>
  <c r="AC164" s="1"/>
  <c r="AE64"/>
  <c r="AF64" s="1"/>
  <c r="V222"/>
  <c r="W222" s="1"/>
  <c r="AE90"/>
  <c r="AF90" s="1"/>
  <c r="AE480"/>
  <c r="AF480" s="1"/>
  <c r="AE389"/>
  <c r="AF389" s="1"/>
  <c r="AE77"/>
  <c r="AF77" s="1"/>
  <c r="AE406"/>
  <c r="AF406" s="1"/>
  <c r="AB202"/>
  <c r="AC202" s="1"/>
  <c r="Y163"/>
  <c r="Z163" s="1"/>
  <c r="AE277"/>
  <c r="AF277" s="1"/>
  <c r="Y129"/>
  <c r="Z129" s="1"/>
  <c r="Y93"/>
  <c r="Z93" s="1"/>
  <c r="Y185"/>
  <c r="Z185" s="1"/>
  <c r="AE387"/>
  <c r="AF387" s="1"/>
  <c r="AE398"/>
  <c r="AF398" s="1"/>
  <c r="AE43"/>
  <c r="AF43" s="1"/>
  <c r="AE593"/>
  <c r="AF593" s="1"/>
  <c r="AB26"/>
  <c r="AC26" s="1"/>
  <c r="AE468"/>
  <c r="AF468" s="1"/>
  <c r="Y97"/>
  <c r="Z97" s="1"/>
  <c r="AE614"/>
  <c r="AF614" s="1"/>
  <c r="AE338"/>
  <c r="AF338" s="1"/>
  <c r="AB748"/>
  <c r="AC748" s="1"/>
  <c r="AE639"/>
  <c r="AF639" s="1"/>
  <c r="AB25"/>
  <c r="AC25" s="1"/>
  <c r="AE566"/>
  <c r="AF566" s="1"/>
  <c r="Y212"/>
  <c r="Z212" s="1"/>
  <c r="Q571"/>
  <c r="S712"/>
  <c r="W11"/>
  <c r="AE481"/>
  <c r="AF481" s="1"/>
  <c r="AB89"/>
  <c r="AC89" s="1"/>
  <c r="V285"/>
  <c r="W285" s="1"/>
  <c r="AB591"/>
  <c r="AC591" s="1"/>
  <c r="AE17"/>
  <c r="AF17" s="1"/>
  <c r="AB337"/>
  <c r="AC337" s="1"/>
  <c r="Y455"/>
  <c r="AE421"/>
  <c r="AF421" s="1"/>
  <c r="AB78"/>
  <c r="AC78" s="1"/>
  <c r="V20"/>
  <c r="AE728"/>
  <c r="AF728" s="1"/>
  <c r="AE590"/>
  <c r="AF590" s="1"/>
  <c r="Y62"/>
  <c r="Z62" s="1"/>
  <c r="AB172"/>
  <c r="AC172" s="1"/>
  <c r="Y283"/>
  <c r="Z283" s="1"/>
  <c r="AE339"/>
  <c r="AF339" s="1"/>
  <c r="Y224"/>
  <c r="Z224" s="1"/>
  <c r="AB658"/>
  <c r="AC658" s="1"/>
  <c r="AE749"/>
  <c r="AF749" s="1"/>
  <c r="AB101"/>
  <c r="AC101" s="1"/>
  <c r="W65"/>
  <c r="Z72"/>
  <c r="AB169"/>
  <c r="AC169" s="1"/>
  <c r="T712"/>
  <c r="V117"/>
  <c r="W117" s="1"/>
  <c r="S19"/>
  <c r="AB394"/>
  <c r="AC394" s="1"/>
  <c r="AE331"/>
  <c r="AF331" s="1"/>
  <c r="V167"/>
  <c r="W167" s="1"/>
  <c r="AB27"/>
  <c r="AC27" s="1"/>
  <c r="AE424"/>
  <c r="AF424" s="1"/>
  <c r="AB184"/>
  <c r="AC184" s="1"/>
  <c r="AE415"/>
  <c r="AF415" s="1"/>
  <c r="AB120"/>
  <c r="AC120" s="1"/>
  <c r="AE579"/>
  <c r="AF579" s="1"/>
  <c r="V73"/>
  <c r="W73" s="1"/>
  <c r="Y9"/>
  <c r="S18"/>
  <c r="AB59"/>
  <c r="AC59" s="1"/>
  <c r="Y174"/>
  <c r="Z174" s="1"/>
  <c r="Y76"/>
  <c r="Z76" s="1"/>
  <c r="AB123"/>
  <c r="AC123" s="1"/>
  <c r="S218"/>
  <c r="W604"/>
  <c r="AB10"/>
  <c r="AC10" s="1"/>
  <c r="AE348"/>
  <c r="AF348" s="1"/>
  <c r="AE63"/>
  <c r="AF63" s="1"/>
  <c r="V165"/>
  <c r="W165" s="1"/>
  <c r="AE703"/>
  <c r="AF703" s="1"/>
  <c r="AE539"/>
  <c r="AF539" s="1"/>
  <c r="AE799"/>
  <c r="AF799" s="1"/>
  <c r="AE434"/>
  <c r="AF434" s="1"/>
  <c r="AB51"/>
  <c r="AC51" s="1"/>
  <c r="V98"/>
  <c r="W98" s="1"/>
  <c r="AE780"/>
  <c r="AF780" s="1"/>
  <c r="V746"/>
  <c r="W746" s="1"/>
  <c r="AE125"/>
  <c r="AF125" s="1"/>
  <c r="V91"/>
  <c r="W91" s="1"/>
  <c r="AE638"/>
  <c r="AF638" s="1"/>
  <c r="AB15"/>
  <c r="AC15" s="1"/>
  <c r="Y203"/>
  <c r="Z203" s="1"/>
  <c r="V128"/>
  <c r="W128" s="1"/>
  <c r="AE439"/>
  <c r="AF439" s="1"/>
  <c r="V102"/>
  <c r="Y314"/>
  <c r="Z314" s="1"/>
  <c r="Y322"/>
  <c r="Z322" s="1"/>
  <c r="AE229"/>
  <c r="AF229" s="1"/>
  <c r="V183"/>
  <c r="W183" s="1"/>
  <c r="AE266"/>
  <c r="AF266" s="1"/>
  <c r="V206"/>
  <c r="W206" s="1"/>
  <c r="AE555"/>
  <c r="AF555" s="1"/>
  <c r="Y268"/>
  <c r="Z268" s="1"/>
  <c r="Y156"/>
  <c r="AE373"/>
  <c r="AF373" s="1"/>
  <c r="V81"/>
  <c r="W81" s="1"/>
  <c r="AB134"/>
  <c r="AC134" s="1"/>
  <c r="AB177"/>
  <c r="AC177" s="1"/>
  <c r="Y191"/>
  <c r="Z191" s="1"/>
  <c r="Y153"/>
  <c r="Z153" s="1"/>
  <c r="Y160"/>
  <c r="Z160" s="1"/>
  <c r="AB136"/>
  <c r="AC136" s="1"/>
  <c r="V248"/>
  <c r="W248" s="1"/>
  <c r="AE580"/>
  <c r="AF580" s="1"/>
  <c r="Y111"/>
  <c r="Z111" s="1"/>
  <c r="AE390"/>
  <c r="AF390" s="1"/>
  <c r="U193"/>
  <c r="AE664"/>
  <c r="AF664" s="1"/>
  <c r="AE680"/>
  <c r="AF680" s="1"/>
  <c r="AE33"/>
  <c r="AF33" s="1"/>
  <c r="Y209"/>
  <c r="Z209" s="1"/>
  <c r="AE448"/>
  <c r="AF448" s="1"/>
  <c r="AB795"/>
  <c r="AC795" s="1"/>
  <c r="AE457"/>
  <c r="AF457" s="1"/>
  <c r="V159"/>
  <c r="W159" s="1"/>
  <c r="AE528"/>
  <c r="AF528" s="1"/>
  <c r="AB158"/>
  <c r="AC158" s="1"/>
  <c r="AE399"/>
  <c r="AF399" s="1"/>
  <c r="Q7"/>
  <c r="AE323" i="3"/>
  <c r="AF323" s="1"/>
  <c r="AE512"/>
  <c r="AF512" s="1"/>
  <c r="AD657"/>
  <c r="AE656"/>
  <c r="AF656" s="1"/>
  <c r="AE650"/>
  <c r="AF650" s="1"/>
  <c r="AE293"/>
  <c r="AF293" s="1"/>
  <c r="AD218"/>
  <c r="AE218" s="1"/>
  <c r="AF218" s="1"/>
  <c r="AF862" i="4" l="1"/>
  <c r="Q10" i="2" s="1"/>
  <c r="P10" s="1"/>
  <c r="R10" s="1"/>
  <c r="AE862" i="4"/>
  <c r="T18"/>
  <c r="V18" s="1"/>
  <c r="W20"/>
  <c r="Y20" s="1"/>
  <c r="Z20" s="1"/>
  <c r="Z327"/>
  <c r="T13"/>
  <c r="V13" s="1"/>
  <c r="AE45"/>
  <c r="AB208"/>
  <c r="AC208" s="1"/>
  <c r="AB271"/>
  <c r="AC271" s="1"/>
  <c r="AE462"/>
  <c r="AF462" s="1"/>
  <c r="AE109"/>
  <c r="AF109" s="1"/>
  <c r="AE44"/>
  <c r="AF44" s="1"/>
  <c r="AB238"/>
  <c r="AC238" s="1"/>
  <c r="Y119"/>
  <c r="Z119" s="1"/>
  <c r="AE559"/>
  <c r="AF559" s="1"/>
  <c r="AE186"/>
  <c r="AF186" s="1"/>
  <c r="AB239"/>
  <c r="AC239" s="1"/>
  <c r="AB143"/>
  <c r="AC143" s="1"/>
  <c r="AE349"/>
  <c r="AB95"/>
  <c r="AC95" s="1"/>
  <c r="AE50"/>
  <c r="AF50" s="1"/>
  <c r="AB160"/>
  <c r="AC160" s="1"/>
  <c r="AB268"/>
  <c r="AC268" s="1"/>
  <c r="AE26"/>
  <c r="AF26" s="1"/>
  <c r="AE202"/>
  <c r="AF202" s="1"/>
  <c r="AE79"/>
  <c r="AF79" s="1"/>
  <c r="Y206"/>
  <c r="Z206" s="1"/>
  <c r="Y91"/>
  <c r="Z91" s="1"/>
  <c r="AE59"/>
  <c r="AF59" s="1"/>
  <c r="AE394"/>
  <c r="AF394" s="1"/>
  <c r="AB93"/>
  <c r="AC93" s="1"/>
  <c r="AE164"/>
  <c r="AF164" s="1"/>
  <c r="AB233"/>
  <c r="AC233" s="1"/>
  <c r="Y115"/>
  <c r="Z115" s="1"/>
  <c r="AB6"/>
  <c r="AE352"/>
  <c r="AF352" s="1"/>
  <c r="AE195"/>
  <c r="AF195" s="1"/>
  <c r="AE190"/>
  <c r="AF190" s="1"/>
  <c r="Y32"/>
  <c r="Z32" s="1"/>
  <c r="AB84"/>
  <c r="AC84" s="1"/>
  <c r="AE106"/>
  <c r="AF106" s="1"/>
  <c r="AB108"/>
  <c r="AC108" s="1"/>
  <c r="AE278"/>
  <c r="AF278" s="1"/>
  <c r="AB96"/>
  <c r="AC96" s="1"/>
  <c r="AE135"/>
  <c r="AF135" s="1"/>
  <c r="Y182"/>
  <c r="Z182" s="1"/>
  <c r="AE138"/>
  <c r="AF138" s="1"/>
  <c r="Y104"/>
  <c r="Z104" s="1"/>
  <c r="AE47"/>
  <c r="AF47" s="1"/>
  <c r="AB283"/>
  <c r="AC283" s="1"/>
  <c r="Y222"/>
  <c r="Z222" s="1"/>
  <c r="AE752"/>
  <c r="AF752" s="1"/>
  <c r="AE272"/>
  <c r="AF272" s="1"/>
  <c r="AB314"/>
  <c r="AC314" s="1"/>
  <c r="AB174"/>
  <c r="AC174" s="1"/>
  <c r="AE27"/>
  <c r="AF27" s="1"/>
  <c r="AE748"/>
  <c r="AB97"/>
  <c r="AC97" s="1"/>
  <c r="AB185"/>
  <c r="AC185" s="1"/>
  <c r="AB171"/>
  <c r="AC171" s="1"/>
  <c r="AB4"/>
  <c r="AC4" s="1"/>
  <c r="AE141"/>
  <c r="AF141" s="1"/>
  <c r="AE280"/>
  <c r="AF280" s="1"/>
  <c r="AB173"/>
  <c r="AC173" s="1"/>
  <c r="AB274"/>
  <c r="AC274" s="1"/>
  <c r="AE113"/>
  <c r="AF113" s="1"/>
  <c r="AE241"/>
  <c r="AF241" s="1"/>
  <c r="AB284"/>
  <c r="AC284" s="1"/>
  <c r="AB225"/>
  <c r="AC225" s="1"/>
  <c r="AB180"/>
  <c r="AC180" s="1"/>
  <c r="Y142"/>
  <c r="Z142" s="1"/>
  <c r="AB57"/>
  <c r="AC57" s="1"/>
  <c r="AB114"/>
  <c r="AC114" s="1"/>
  <c r="Y139"/>
  <c r="Z139" s="1"/>
  <c r="AB763"/>
  <c r="AC763" s="1"/>
  <c r="AB129"/>
  <c r="AC129" s="1"/>
  <c r="AE215"/>
  <c r="AF215" s="1"/>
  <c r="AE124"/>
  <c r="AF124" s="1"/>
  <c r="AB131"/>
  <c r="AC131" s="1"/>
  <c r="AE267"/>
  <c r="AF267" s="1"/>
  <c r="AE136"/>
  <c r="AF136" s="1"/>
  <c r="AB191"/>
  <c r="AC191" s="1"/>
  <c r="Y248"/>
  <c r="Z248" s="1"/>
  <c r="Y183"/>
  <c r="Z183" s="1"/>
  <c r="Y128"/>
  <c r="Z128" s="1"/>
  <c r="Y746"/>
  <c r="Z746" s="1"/>
  <c r="AE51"/>
  <c r="AF51" s="1"/>
  <c r="AE15"/>
  <c r="AF15" s="1"/>
  <c r="AB76"/>
  <c r="AC76" s="1"/>
  <c r="Y73"/>
  <c r="Z73" s="1"/>
  <c r="AE101"/>
  <c r="AF101" s="1"/>
  <c r="AB224"/>
  <c r="AC224" s="1"/>
  <c r="AE172"/>
  <c r="AF172" s="1"/>
  <c r="AB212"/>
  <c r="AC212" s="1"/>
  <c r="AB175"/>
  <c r="AC175" s="1"/>
  <c r="AE179"/>
  <c r="AF179" s="1"/>
  <c r="AE34"/>
  <c r="AF34" s="1"/>
  <c r="Y24"/>
  <c r="Z24" s="1"/>
  <c r="AE237"/>
  <c r="AF237" s="1"/>
  <c r="Y70"/>
  <c r="Z70" s="1"/>
  <c r="AE243"/>
  <c r="AF243" s="1"/>
  <c r="AB36"/>
  <c r="AC36" s="1"/>
  <c r="AB56"/>
  <c r="AC56" s="1"/>
  <c r="AE249"/>
  <c r="AF249" s="1"/>
  <c r="AB286"/>
  <c r="AC286" s="1"/>
  <c r="AE353"/>
  <c r="AF353" s="1"/>
  <c r="AB250"/>
  <c r="AC250" s="1"/>
  <c r="Y216"/>
  <c r="Z216" s="1"/>
  <c r="AE122"/>
  <c r="AF122" s="1"/>
  <c r="Y126"/>
  <c r="Z126" s="1"/>
  <c r="AB121"/>
  <c r="AC121" s="1"/>
  <c r="AE35"/>
  <c r="AF35" s="1"/>
  <c r="Y211"/>
  <c r="Z211" s="1"/>
  <c r="AE21"/>
  <c r="AF21" s="1"/>
  <c r="AB209"/>
  <c r="AC209" s="1"/>
  <c r="AE169"/>
  <c r="AF169" s="1"/>
  <c r="AE658"/>
  <c r="AF658" s="1"/>
  <c r="AE591"/>
  <c r="AF591" s="1"/>
  <c r="AB322"/>
  <c r="AC322" s="1"/>
  <c r="Y65"/>
  <c r="Z65" s="1"/>
  <c r="AE78"/>
  <c r="AF78" s="1"/>
  <c r="AE337"/>
  <c r="AF337" s="1"/>
  <c r="Y285"/>
  <c r="Z285" s="1"/>
  <c r="AE89"/>
  <c r="AF89" s="1"/>
  <c r="AE287"/>
  <c r="AF287" s="1"/>
  <c r="AE231"/>
  <c r="AF231" s="1"/>
  <c r="Y132"/>
  <c r="Z132" s="1"/>
  <c r="Y112"/>
  <c r="Z112" s="1"/>
  <c r="AB327"/>
  <c r="Y661"/>
  <c r="Z661" s="1"/>
  <c r="S145"/>
  <c r="AE686"/>
  <c r="AF686" s="1"/>
  <c r="AB150"/>
  <c r="AC150" s="1"/>
  <c r="V5"/>
  <c r="AB279"/>
  <c r="AC279" s="1"/>
  <c r="AE58"/>
  <c r="AE359"/>
  <c r="AF359" s="1"/>
  <c r="AE762"/>
  <c r="AF762" s="1"/>
  <c r="AB199"/>
  <c r="AC199" s="1"/>
  <c r="AB204"/>
  <c r="AC204" s="1"/>
  <c r="AE116"/>
  <c r="AF116" s="1"/>
  <c r="Y80"/>
  <c r="Z80" s="1"/>
  <c r="AB789"/>
  <c r="AC789" s="1"/>
  <c r="AB127"/>
  <c r="AC127" s="1"/>
  <c r="AE61"/>
  <c r="AF61" s="1"/>
  <c r="AE154"/>
  <c r="AF154" s="1"/>
  <c r="Y60"/>
  <c r="Z60" s="1"/>
  <c r="Y148"/>
  <c r="Z148" s="1"/>
  <c r="AE188"/>
  <c r="AF188" s="1"/>
  <c r="AE168"/>
  <c r="AF168" s="1"/>
  <c r="AB29"/>
  <c r="AC29" s="1"/>
  <c r="AE152"/>
  <c r="AF152" s="1"/>
  <c r="T218"/>
  <c r="W85"/>
  <c r="S571"/>
  <c r="AE158"/>
  <c r="AF158" s="1"/>
  <c r="Y159"/>
  <c r="Z159" s="1"/>
  <c r="AB153"/>
  <c r="AC153" s="1"/>
  <c r="Y81"/>
  <c r="Z81" s="1"/>
  <c r="AB203"/>
  <c r="AC203" s="1"/>
  <c r="Y165"/>
  <c r="Z165" s="1"/>
  <c r="AE10"/>
  <c r="AF10" s="1"/>
  <c r="AE134"/>
  <c r="AF134" s="1"/>
  <c r="AB62"/>
  <c r="AC62" s="1"/>
  <c r="V193"/>
  <c r="W193" s="1"/>
  <c r="AE120"/>
  <c r="AF120" s="1"/>
  <c r="AE184"/>
  <c r="AF184" s="1"/>
  <c r="S7"/>
  <c r="Y604"/>
  <c r="AB72"/>
  <c r="V759"/>
  <c r="W759" s="1"/>
  <c r="V3"/>
  <c r="W3" s="1"/>
  <c r="W396"/>
  <c r="AE189"/>
  <c r="AF189" s="1"/>
  <c r="AB75"/>
  <c r="AC75" s="1"/>
  <c r="AE161"/>
  <c r="AF161" s="1"/>
  <c r="AE517"/>
  <c r="AF517" s="1"/>
  <c r="Z455"/>
  <c r="W102"/>
  <c r="Z9"/>
  <c r="Z156"/>
  <c r="T19"/>
  <c r="W755"/>
  <c r="T863"/>
  <c r="AE177"/>
  <c r="AF177" s="1"/>
  <c r="AE123"/>
  <c r="AF123" s="1"/>
  <c r="AE25"/>
  <c r="AF25" s="1"/>
  <c r="AB163"/>
  <c r="AC163" s="1"/>
  <c r="AE200"/>
  <c r="AF200" s="1"/>
  <c r="AB205"/>
  <c r="AC205" s="1"/>
  <c r="AE107"/>
  <c r="AF107" s="1"/>
  <c r="AB146"/>
  <c r="AC146" s="1"/>
  <c r="AE39"/>
  <c r="AF39" s="1"/>
  <c r="AB22"/>
  <c r="AC22" s="1"/>
  <c r="AB100"/>
  <c r="AC100" s="1"/>
  <c r="AB31"/>
  <c r="AC31" s="1"/>
  <c r="S151"/>
  <c r="T151" s="1"/>
  <c r="V2"/>
  <c r="AB611"/>
  <c r="AB38"/>
  <c r="AC38" s="1"/>
  <c r="AB227"/>
  <c r="AC227" s="1"/>
  <c r="Y228"/>
  <c r="Z228" s="1"/>
  <c r="AE40"/>
  <c r="AF40" s="1"/>
  <c r="AE247"/>
  <c r="AF247" s="1"/>
  <c r="AE8"/>
  <c r="AF8" s="1"/>
  <c r="AE192"/>
  <c r="AF192" s="1"/>
  <c r="AE281"/>
  <c r="AF281" s="1"/>
  <c r="AB213"/>
  <c r="AC213" s="1"/>
  <c r="AB166"/>
  <c r="AC166" s="1"/>
  <c r="Y196"/>
  <c r="Z196" s="1"/>
  <c r="AB223"/>
  <c r="AC223" s="1"/>
  <c r="AE88"/>
  <c r="AF88" s="1"/>
  <c r="AB140"/>
  <c r="AC140" s="1"/>
  <c r="AB110"/>
  <c r="AC110" s="1"/>
  <c r="Y46"/>
  <c r="Z46" s="1"/>
  <c r="AE147"/>
  <c r="AF147" s="1"/>
  <c r="AB37"/>
  <c r="AC37" s="1"/>
  <c r="AE144"/>
  <c r="AF144" s="1"/>
  <c r="Y240"/>
  <c r="Z240" s="1"/>
  <c r="AE378"/>
  <c r="AF378" s="1"/>
  <c r="Y133"/>
  <c r="Z133" s="1"/>
  <c r="AE71"/>
  <c r="AF71" s="1"/>
  <c r="AE397"/>
  <c r="AF397" s="1"/>
  <c r="AB230"/>
  <c r="AC230" s="1"/>
  <c r="AB178"/>
  <c r="AC178" s="1"/>
  <c r="AE321"/>
  <c r="AF321" s="1"/>
  <c r="AE795"/>
  <c r="AF795" s="1"/>
  <c r="Y98"/>
  <c r="Z98" s="1"/>
  <c r="Y167"/>
  <c r="Z167" s="1"/>
  <c r="Y117"/>
  <c r="AB111"/>
  <c r="AC111" s="1"/>
  <c r="Y11"/>
  <c r="Y372"/>
  <c r="AB28"/>
  <c r="AC28" s="1"/>
  <c r="V654"/>
  <c r="V14"/>
  <c r="W14" s="1"/>
  <c r="V350"/>
  <c r="V712" s="1"/>
  <c r="T66"/>
  <c r="Z454"/>
  <c r="T103"/>
  <c r="T69"/>
  <c r="AD224" i="3"/>
  <c r="AE223"/>
  <c r="AF223" s="1"/>
  <c r="AE130"/>
  <c r="AF130" s="1"/>
  <c r="AF349" i="4" l="1"/>
  <c r="AF748"/>
  <c r="W18"/>
  <c r="Y18" s="1"/>
  <c r="Z18" s="1"/>
  <c r="AB285"/>
  <c r="AC285" s="1"/>
  <c r="AE209"/>
  <c r="AF209" s="1"/>
  <c r="AE212"/>
  <c r="AF212" s="1"/>
  <c r="AB183"/>
  <c r="AC183" s="1"/>
  <c r="AE763"/>
  <c r="AF763" s="1"/>
  <c r="AB142"/>
  <c r="AC142" s="1"/>
  <c r="AE173"/>
  <c r="AF173" s="1"/>
  <c r="AE171"/>
  <c r="AF171" s="1"/>
  <c r="AE111"/>
  <c r="AF111" s="1"/>
  <c r="AB167"/>
  <c r="AC167" s="1"/>
  <c r="AE230"/>
  <c r="AF230" s="1"/>
  <c r="AE163"/>
  <c r="AF163" s="1"/>
  <c r="AE29"/>
  <c r="AE191"/>
  <c r="AF191" s="1"/>
  <c r="AE131"/>
  <c r="AF131" s="1"/>
  <c r="AE57"/>
  <c r="AF57" s="1"/>
  <c r="AE284"/>
  <c r="AF284" s="1"/>
  <c r="AE4"/>
  <c r="AF4" s="1"/>
  <c r="AE97"/>
  <c r="AF97" s="1"/>
  <c r="AB46"/>
  <c r="AC46" s="1"/>
  <c r="AE213"/>
  <c r="AF213" s="1"/>
  <c r="AE127"/>
  <c r="AF127" s="1"/>
  <c r="AE227"/>
  <c r="AF227" s="1"/>
  <c r="AB165"/>
  <c r="AC165" s="1"/>
  <c r="AB80"/>
  <c r="AC80" s="1"/>
  <c r="AE199"/>
  <c r="AF199" s="1"/>
  <c r="AB661"/>
  <c r="AC661" s="1"/>
  <c r="AB211"/>
  <c r="AC211" s="1"/>
  <c r="AB126"/>
  <c r="AC126" s="1"/>
  <c r="AE250"/>
  <c r="AF250" s="1"/>
  <c r="AB73"/>
  <c r="AC73" s="1"/>
  <c r="AE114"/>
  <c r="AF114" s="1"/>
  <c r="AE225"/>
  <c r="AF225" s="1"/>
  <c r="AB222"/>
  <c r="AC222" s="1"/>
  <c r="AB32"/>
  <c r="AC32" s="1"/>
  <c r="AE160"/>
  <c r="AF160" s="1"/>
  <c r="AE239"/>
  <c r="AF239" s="1"/>
  <c r="AE223"/>
  <c r="AF223" s="1"/>
  <c r="AE75"/>
  <c r="AF75" s="1"/>
  <c r="Y759"/>
  <c r="Z687" s="1"/>
  <c r="Z759"/>
  <c r="AE62"/>
  <c r="AF62" s="1"/>
  <c r="AB159"/>
  <c r="AC159" s="1"/>
  <c r="AE140"/>
  <c r="AF140" s="1"/>
  <c r="AB240"/>
  <c r="AC240" s="1"/>
  <c r="AE110"/>
  <c r="AF110" s="1"/>
  <c r="AB196"/>
  <c r="AC196" s="1"/>
  <c r="AB228"/>
  <c r="AC228" s="1"/>
  <c r="AE100"/>
  <c r="AF100" s="1"/>
  <c r="AE205"/>
  <c r="AF205" s="1"/>
  <c r="AB81"/>
  <c r="AC81" s="1"/>
  <c r="AE789"/>
  <c r="AF789" s="1"/>
  <c r="AE204"/>
  <c r="AF204" s="1"/>
  <c r="AB112"/>
  <c r="AC112" s="1"/>
  <c r="AE322"/>
  <c r="AF322" s="1"/>
  <c r="AE121"/>
  <c r="AF121" s="1"/>
  <c r="AE56"/>
  <c r="AF56" s="1"/>
  <c r="AB24"/>
  <c r="AC24" s="1"/>
  <c r="AB746"/>
  <c r="AC746" s="1"/>
  <c r="AB139"/>
  <c r="AC139" s="1"/>
  <c r="AE180"/>
  <c r="AF180" s="1"/>
  <c r="AE95"/>
  <c r="AF95" s="1"/>
  <c r="AE271"/>
  <c r="AF271" s="1"/>
  <c r="AE203"/>
  <c r="AF203" s="1"/>
  <c r="AB454"/>
  <c r="AE28"/>
  <c r="AF28" s="1"/>
  <c r="AE38"/>
  <c r="AF38" s="1"/>
  <c r="AE146"/>
  <c r="AF146" s="1"/>
  <c r="T571"/>
  <c r="Y85"/>
  <c r="AE274"/>
  <c r="AF274" s="1"/>
  <c r="AE185"/>
  <c r="AF185" s="1"/>
  <c r="AE174"/>
  <c r="AF174" s="1"/>
  <c r="AC611"/>
  <c r="U571"/>
  <c r="W654"/>
  <c r="Z117"/>
  <c r="Z604"/>
  <c r="AF58"/>
  <c r="V69"/>
  <c r="AB98"/>
  <c r="AC98" s="1"/>
  <c r="AE178"/>
  <c r="AF178" s="1"/>
  <c r="AE37"/>
  <c r="AF37" s="1"/>
  <c r="AE166"/>
  <c r="AF166" s="1"/>
  <c r="AE31"/>
  <c r="AF31" s="1"/>
  <c r="AB156"/>
  <c r="Y396"/>
  <c r="V66"/>
  <c r="W66" s="1"/>
  <c r="W350"/>
  <c r="V103"/>
  <c r="W103" s="1"/>
  <c r="Y755"/>
  <c r="AB9"/>
  <c r="AB455"/>
  <c r="AC455" s="1"/>
  <c r="Y193"/>
  <c r="Z193" s="1"/>
  <c r="V218"/>
  <c r="W218" s="1"/>
  <c r="AB60"/>
  <c r="AC60" s="1"/>
  <c r="AB216"/>
  <c r="AC216" s="1"/>
  <c r="AE36"/>
  <c r="AF36" s="1"/>
  <c r="AE175"/>
  <c r="AF175" s="1"/>
  <c r="Z11"/>
  <c r="Z372"/>
  <c r="W13"/>
  <c r="W2"/>
  <c r="AC72"/>
  <c r="T7"/>
  <c r="W5"/>
  <c r="AC327"/>
  <c r="AC6"/>
  <c r="AF45"/>
  <c r="AB148"/>
  <c r="AC148" s="1"/>
  <c r="AE279"/>
  <c r="AF279" s="1"/>
  <c r="AB132"/>
  <c r="AC132" s="1"/>
  <c r="AB65"/>
  <c r="AC65" s="1"/>
  <c r="AE286"/>
  <c r="AF286" s="1"/>
  <c r="AE224"/>
  <c r="AF224" s="1"/>
  <c r="AB128"/>
  <c r="AC128" s="1"/>
  <c r="AB248"/>
  <c r="AC248" s="1"/>
  <c r="AE314"/>
  <c r="AF314" s="1"/>
  <c r="AE283"/>
  <c r="AF283" s="1"/>
  <c r="AB104"/>
  <c r="AC104" s="1"/>
  <c r="AB182"/>
  <c r="AC182" s="1"/>
  <c r="AE96"/>
  <c r="AF96" s="1"/>
  <c r="AE108"/>
  <c r="AF108" s="1"/>
  <c r="AE84"/>
  <c r="AF84" s="1"/>
  <c r="AB115"/>
  <c r="AC115" s="1"/>
  <c r="AB206"/>
  <c r="AC206" s="1"/>
  <c r="AE268"/>
  <c r="AF268" s="1"/>
  <c r="AE238"/>
  <c r="AF238" s="1"/>
  <c r="AB20"/>
  <c r="AC20" s="1"/>
  <c r="AB133"/>
  <c r="AC133" s="1"/>
  <c r="V151"/>
  <c r="AE22"/>
  <c r="AF22" s="1"/>
  <c r="V863"/>
  <c r="AE153"/>
  <c r="AF153" s="1"/>
  <c r="Y14"/>
  <c r="Z14" s="1"/>
  <c r="V19"/>
  <c r="Y102"/>
  <c r="Z102" s="1"/>
  <c r="Y3"/>
  <c r="Z3" s="1"/>
  <c r="AE150"/>
  <c r="AF150" s="1"/>
  <c r="AB70"/>
  <c r="AC70" s="1"/>
  <c r="AE76"/>
  <c r="AF76" s="1"/>
  <c r="AE129"/>
  <c r="AF129" s="1"/>
  <c r="AE233"/>
  <c r="AF233" s="1"/>
  <c r="AE93"/>
  <c r="AF93" s="1"/>
  <c r="AB91"/>
  <c r="AC91" s="1"/>
  <c r="AE143"/>
  <c r="AF143" s="1"/>
  <c r="AB119"/>
  <c r="AC119" s="1"/>
  <c r="AE208"/>
  <c r="AF208" s="1"/>
  <c r="V571"/>
  <c r="T145"/>
  <c r="AE700" i="3"/>
  <c r="AF700" s="1"/>
  <c r="AD675"/>
  <c r="AD678" s="1"/>
  <c r="AE614"/>
  <c r="AF614" s="1"/>
  <c r="AE548"/>
  <c r="AF548" s="1"/>
  <c r="AE533"/>
  <c r="AF533" s="1"/>
  <c r="AE485"/>
  <c r="AF485" s="1"/>
  <c r="AE394"/>
  <c r="AF394" s="1"/>
  <c r="AC750" i="4" l="1"/>
  <c r="O6" i="2" s="1"/>
  <c r="AE746" i="4"/>
  <c r="AE750" s="1"/>
  <c r="W863"/>
  <c r="Y863" s="1"/>
  <c r="Z85"/>
  <c r="AB85" s="1"/>
  <c r="AC85" s="1"/>
  <c r="AE211"/>
  <c r="AF211" s="1"/>
  <c r="AE182"/>
  <c r="AF182" s="1"/>
  <c r="AE20"/>
  <c r="AF20" s="1"/>
  <c r="AE216"/>
  <c r="AF216" s="1"/>
  <c r="AE98"/>
  <c r="AF98" s="1"/>
  <c r="AE112"/>
  <c r="AF112" s="1"/>
  <c r="AE228"/>
  <c r="AF228" s="1"/>
  <c r="AE159"/>
  <c r="AF159" s="1"/>
  <c r="AE115"/>
  <c r="AF115" s="1"/>
  <c r="AE248"/>
  <c r="AF248" s="1"/>
  <c r="AE167"/>
  <c r="AF167" s="1"/>
  <c r="AE65"/>
  <c r="AF65" s="1"/>
  <c r="AE119"/>
  <c r="AF119" s="1"/>
  <c r="AE91"/>
  <c r="AF91" s="1"/>
  <c r="AE240"/>
  <c r="AF240" s="1"/>
  <c r="AE32"/>
  <c r="AF32" s="1"/>
  <c r="AE148"/>
  <c r="AF148" s="1"/>
  <c r="Y13"/>
  <c r="Z13" s="1"/>
  <c r="AE611"/>
  <c r="AF611" s="1"/>
  <c r="AE139"/>
  <c r="AF139" s="1"/>
  <c r="AE24"/>
  <c r="AE661"/>
  <c r="AF661" s="1"/>
  <c r="AD327"/>
  <c r="V7"/>
  <c r="Y2"/>
  <c r="AB687"/>
  <c r="AC687" s="1"/>
  <c r="AE165"/>
  <c r="AF165" s="1"/>
  <c r="AE46"/>
  <c r="AF46" s="1"/>
  <c r="AE285"/>
  <c r="AF285" s="1"/>
  <c r="AC156"/>
  <c r="AE133"/>
  <c r="AF133" s="1"/>
  <c r="AE132"/>
  <c r="AF132" s="1"/>
  <c r="Y5"/>
  <c r="AB11"/>
  <c r="AC11" s="1"/>
  <c r="AE60"/>
  <c r="AF60" s="1"/>
  <c r="Y218"/>
  <c r="AE455"/>
  <c r="AF455" s="1"/>
  <c r="AB604"/>
  <c r="AE73"/>
  <c r="AF73" s="1"/>
  <c r="AB14"/>
  <c r="V145"/>
  <c r="W145" s="1"/>
  <c r="AB372"/>
  <c r="Y350"/>
  <c r="Z350" s="1"/>
  <c r="W712"/>
  <c r="Y654"/>
  <c r="AB759"/>
  <c r="AC759" s="1"/>
  <c r="W19"/>
  <c r="AC9"/>
  <c r="Z755"/>
  <c r="W69"/>
  <c r="AC454"/>
  <c r="AF29"/>
  <c r="AE70"/>
  <c r="AF70" s="1"/>
  <c r="AB18"/>
  <c r="AB3"/>
  <c r="AB102"/>
  <c r="AC102" s="1"/>
  <c r="AE6"/>
  <c r="AE72"/>
  <c r="Y103"/>
  <c r="AE126"/>
  <c r="AF126" s="1"/>
  <c r="AE80"/>
  <c r="AF80" s="1"/>
  <c r="AE206"/>
  <c r="AF206" s="1"/>
  <c r="AE104"/>
  <c r="AF104" s="1"/>
  <c r="AE128"/>
  <c r="AF128" s="1"/>
  <c r="AB193"/>
  <c r="AC193" s="1"/>
  <c r="Y66"/>
  <c r="Z66" s="1"/>
  <c r="AB117"/>
  <c r="AC117" s="1"/>
  <c r="AE81"/>
  <c r="AF81" s="1"/>
  <c r="AE196"/>
  <c r="AF196" s="1"/>
  <c r="AE222"/>
  <c r="AF222" s="1"/>
  <c r="AE142"/>
  <c r="AF142" s="1"/>
  <c r="AE183"/>
  <c r="AF183" s="1"/>
  <c r="W151"/>
  <c r="Z396"/>
  <c r="AE675" i="3"/>
  <c r="AF675" s="1"/>
  <c r="AD745" i="4" l="1"/>
  <c r="AD865" s="1"/>
  <c r="AF746"/>
  <c r="AF750" s="1"/>
  <c r="Q6" i="2" s="1"/>
  <c r="P6" s="1"/>
  <c r="R6" s="1"/>
  <c r="Z654" i="4"/>
  <c r="Z863"/>
  <c r="AB863" s="1"/>
  <c r="Z5"/>
  <c r="AB5" s="1"/>
  <c r="F865"/>
  <c r="AE193"/>
  <c r="AF193" s="1"/>
  <c r="AE759"/>
  <c r="AF759" s="1"/>
  <c r="W571"/>
  <c r="AE85"/>
  <c r="AE117"/>
  <c r="AE454"/>
  <c r="AF454" s="1"/>
  <c r="Y19"/>
  <c r="Z19" s="1"/>
  <c r="AB654"/>
  <c r="AB755"/>
  <c r="AC604"/>
  <c r="Z218"/>
  <c r="W7"/>
  <c r="AB350"/>
  <c r="AC350" s="1"/>
  <c r="AE11"/>
  <c r="AB396"/>
  <c r="Y69"/>
  <c r="Z69" s="1"/>
  <c r="Y145"/>
  <c r="AE156"/>
  <c r="AF156" s="1"/>
  <c r="AE687"/>
  <c r="AF687" s="1"/>
  <c r="Z103"/>
  <c r="AC3"/>
  <c r="AC372"/>
  <c r="Y151"/>
  <c r="AB66"/>
  <c r="AE102"/>
  <c r="AE9"/>
  <c r="AE327"/>
  <c r="AB13"/>
  <c r="AC13" s="1"/>
  <c r="AF72"/>
  <c r="AF6"/>
  <c r="AC18"/>
  <c r="AC14"/>
  <c r="Z2"/>
  <c r="AF24"/>
  <c r="U95" i="1"/>
  <c r="AE53" i="3"/>
  <c r="AF53" s="1"/>
  <c r="AE23"/>
  <c r="AF23" s="1"/>
  <c r="AD546"/>
  <c r="AE546" s="1"/>
  <c r="AF546" s="1"/>
  <c r="AD162"/>
  <c r="AD897"/>
  <c r="AD873"/>
  <c r="AD858"/>
  <c r="AD839"/>
  <c r="AD750"/>
  <c r="AD721"/>
  <c r="AD709"/>
  <c r="AD672"/>
  <c r="AD618"/>
  <c r="AD606"/>
  <c r="AD600"/>
  <c r="AD594"/>
  <c r="AD496"/>
  <c r="AD468"/>
  <c r="AD375"/>
  <c r="AD371"/>
  <c r="AD367"/>
  <c r="AD319"/>
  <c r="AD295"/>
  <c r="AD256"/>
  <c r="AD254"/>
  <c r="AD182"/>
  <c r="AD146"/>
  <c r="AD95"/>
  <c r="AD84"/>
  <c r="AD64"/>
  <c r="AD34"/>
  <c r="AD5"/>
  <c r="AA317"/>
  <c r="AF9" i="4" l="1"/>
  <c r="AC863"/>
  <c r="AC864" s="1"/>
  <c r="O12" i="2" s="1"/>
  <c r="D571" i="4"/>
  <c r="Z145"/>
  <c r="AC654"/>
  <c r="AE654" s="1"/>
  <c r="AE18"/>
  <c r="AE13"/>
  <c r="AF13" s="1"/>
  <c r="AE350"/>
  <c r="AF350" s="1"/>
  <c r="AE604"/>
  <c r="Y571"/>
  <c r="AE372"/>
  <c r="AB218"/>
  <c r="AC218" s="1"/>
  <c r="AB2"/>
  <c r="AB103"/>
  <c r="Y7"/>
  <c r="AF102"/>
  <c r="AC396"/>
  <c r="AC745" s="1"/>
  <c r="AC755"/>
  <c r="AC804" s="1"/>
  <c r="O7" i="2" s="1"/>
  <c r="AC66" i="4"/>
  <c r="AF117"/>
  <c r="AB69"/>
  <c r="AB19"/>
  <c r="AE14"/>
  <c r="AF327"/>
  <c r="AE3"/>
  <c r="AC5"/>
  <c r="Z151"/>
  <c r="AF11"/>
  <c r="AF85"/>
  <c r="AD553" i="3"/>
  <c r="AB294"/>
  <c r="AC294" s="1"/>
  <c r="T68" i="1"/>
  <c r="V68" s="1"/>
  <c r="T67"/>
  <c r="O5" i="2" l="1"/>
  <c r="U67" i="1"/>
  <c r="V67" s="1"/>
  <c r="AE863" i="4"/>
  <c r="AE864" s="1"/>
  <c r="AB145"/>
  <c r="AC19"/>
  <c r="AC69"/>
  <c r="AE69" s="1"/>
  <c r="AC103"/>
  <c r="AF18"/>
  <c r="E865"/>
  <c r="AF3"/>
  <c r="AE218"/>
  <c r="AE5"/>
  <c r="AF66"/>
  <c r="AE66"/>
  <c r="AE396"/>
  <c r="AE745" s="1"/>
  <c r="AC2"/>
  <c r="AF372"/>
  <c r="AF604"/>
  <c r="AE755"/>
  <c r="AF654"/>
  <c r="AF14"/>
  <c r="AB151"/>
  <c r="AE103"/>
  <c r="Z7"/>
  <c r="AE294" i="3"/>
  <c r="AF294" s="1"/>
  <c r="AA409"/>
  <c r="AB408"/>
  <c r="AC408" s="1"/>
  <c r="AB220"/>
  <c r="AC220" s="1"/>
  <c r="AA368"/>
  <c r="AB868"/>
  <c r="AC868" s="1"/>
  <c r="AB592"/>
  <c r="AC592" s="1"/>
  <c r="AA213"/>
  <c r="AB221"/>
  <c r="AC221" s="1"/>
  <c r="AF863" i="4" l="1"/>
  <c r="AF864" s="1"/>
  <c r="Q12" i="2" s="1"/>
  <c r="P12" s="1"/>
  <c r="R12" s="1"/>
  <c r="AE19" i="4"/>
  <c r="AF19" s="1"/>
  <c r="AF755"/>
  <c r="AF804" s="1"/>
  <c r="Q7" i="2" s="1"/>
  <c r="P7" s="1"/>
  <c r="R7" s="1"/>
  <c r="AE804" i="4"/>
  <c r="AC145"/>
  <c r="AC151"/>
  <c r="AE151" s="1"/>
  <c r="K865"/>
  <c r="AF5"/>
  <c r="D865"/>
  <c r="AB7"/>
  <c r="AE2"/>
  <c r="AF69"/>
  <c r="AF396"/>
  <c r="AF745" s="1"/>
  <c r="AF103"/>
  <c r="AF218"/>
  <c r="AE592" i="3"/>
  <c r="AF592" s="1"/>
  <c r="AE408"/>
  <c r="AF408" s="1"/>
  <c r="AE221"/>
  <c r="AF221" s="1"/>
  <c r="AE868"/>
  <c r="AF868" s="1"/>
  <c r="AE220"/>
  <c r="AA162"/>
  <c r="AB161"/>
  <c r="AC161" s="1"/>
  <c r="Q5" i="2" l="1"/>
  <c r="P5" s="1"/>
  <c r="AE145" i="4"/>
  <c r="H712"/>
  <c r="AF151"/>
  <c r="AF2"/>
  <c r="AC7"/>
  <c r="AC324" s="1"/>
  <c r="AF220" i="3"/>
  <c r="AE161"/>
  <c r="AF161" s="1"/>
  <c r="AA519"/>
  <c r="AB790"/>
  <c r="AC790" s="1"/>
  <c r="AB796"/>
  <c r="AC796" s="1"/>
  <c r="AB795"/>
  <c r="AC795" s="1"/>
  <c r="AA212"/>
  <c r="AA224" s="1"/>
  <c r="AA765"/>
  <c r="AB664"/>
  <c r="AC664" s="1"/>
  <c r="Z672"/>
  <c r="AB663"/>
  <c r="AC663" s="1"/>
  <c r="AB662"/>
  <c r="AC662" s="1"/>
  <c r="AB661"/>
  <c r="AC661" s="1"/>
  <c r="AB660"/>
  <c r="AC660" s="1"/>
  <c r="AB659"/>
  <c r="AC659" s="1"/>
  <c r="AB658"/>
  <c r="AC658" s="1"/>
  <c r="AB215"/>
  <c r="AC215" s="1"/>
  <c r="AA516"/>
  <c r="O4" i="2" l="1"/>
  <c r="O13" s="1"/>
  <c r="AC865" i="4"/>
  <c r="R5" i="2"/>
  <c r="J712" i="4"/>
  <c r="I865"/>
  <c r="AF145"/>
  <c r="AE7"/>
  <c r="AE324" s="1"/>
  <c r="AE865" s="1"/>
  <c r="AE790" i="3"/>
  <c r="AF790" s="1"/>
  <c r="AE661"/>
  <c r="AF661" s="1"/>
  <c r="AE796"/>
  <c r="AF796" s="1"/>
  <c r="AE795"/>
  <c r="AF795" s="1"/>
  <c r="AE659"/>
  <c r="AF659" s="1"/>
  <c r="AE663"/>
  <c r="AF663" s="1"/>
  <c r="AE664"/>
  <c r="AF664" s="1"/>
  <c r="AE215"/>
  <c r="AF215" s="1"/>
  <c r="AE660"/>
  <c r="AF660" s="1"/>
  <c r="AE658"/>
  <c r="AE662"/>
  <c r="AF662" s="1"/>
  <c r="AA892"/>
  <c r="AA891"/>
  <c r="AA286"/>
  <c r="AA793"/>
  <c r="AA786"/>
  <c r="AA253"/>
  <c r="AB253" s="1"/>
  <c r="AC253" s="1"/>
  <c r="AA642"/>
  <c r="AA582"/>
  <c r="AA594" s="1"/>
  <c r="AA708"/>
  <c r="AA709" s="1"/>
  <c r="N25" i="2"/>
  <c r="N23"/>
  <c r="N11"/>
  <c r="AA873" i="3"/>
  <c r="AA839"/>
  <c r="AA750"/>
  <c r="AA721"/>
  <c r="AA618"/>
  <c r="AA606"/>
  <c r="AA600"/>
  <c r="AA553"/>
  <c r="AA468"/>
  <c r="AA430"/>
  <c r="AA256"/>
  <c r="AA146"/>
  <c r="AA144"/>
  <c r="AA95"/>
  <c r="AA5"/>
  <c r="O865" i="4" l="1"/>
  <c r="G865"/>
  <c r="AF7"/>
  <c r="AF324" s="1"/>
  <c r="AA897" i="3"/>
  <c r="AE253"/>
  <c r="AF253" s="1"/>
  <c r="AF658"/>
  <c r="AA254"/>
  <c r="AB816"/>
  <c r="AC816" s="1"/>
  <c r="AA665"/>
  <c r="AA666"/>
  <c r="AB366"/>
  <c r="AC366" s="1"/>
  <c r="AB679"/>
  <c r="AC679" s="1"/>
  <c r="AB677"/>
  <c r="AC677" s="1"/>
  <c r="AB676"/>
  <c r="M676"/>
  <c r="H676"/>
  <c r="L676" s="1"/>
  <c r="F676"/>
  <c r="AB674"/>
  <c r="AC674" s="1"/>
  <c r="AB593"/>
  <c r="AC593" s="1"/>
  <c r="Q4" i="2" l="1"/>
  <c r="AF865" i="4"/>
  <c r="H865"/>
  <c r="L865"/>
  <c r="AE674" i="3"/>
  <c r="AE366"/>
  <c r="AF366" s="1"/>
  <c r="AE816"/>
  <c r="AF816" s="1"/>
  <c r="AE593"/>
  <c r="AF593" s="1"/>
  <c r="AE679"/>
  <c r="AF679" s="1"/>
  <c r="AE677"/>
  <c r="AF677" s="1"/>
  <c r="AA672"/>
  <c r="AA678" s="1"/>
  <c r="N676"/>
  <c r="P676" s="1"/>
  <c r="Q676" s="1"/>
  <c r="J676"/>
  <c r="AC676"/>
  <c r="AC678" s="1"/>
  <c r="AB537"/>
  <c r="AC537" s="1"/>
  <c r="AA374"/>
  <c r="AA375" s="1"/>
  <c r="AA78"/>
  <c r="AA84" s="1"/>
  <c r="S95" i="1"/>
  <c r="S93"/>
  <c r="P4" i="2" l="1"/>
  <c r="Q13"/>
  <c r="M865" i="4"/>
  <c r="J865"/>
  <c r="X865"/>
  <c r="AF674" i="3"/>
  <c r="AE537"/>
  <c r="AF537" s="1"/>
  <c r="AE676"/>
  <c r="AF676" s="1"/>
  <c r="S676"/>
  <c r="AB883"/>
  <c r="AC883" s="1"/>
  <c r="AB671"/>
  <c r="AB670"/>
  <c r="AB669"/>
  <c r="AB668"/>
  <c r="AB667"/>
  <c r="AB666"/>
  <c r="AB665"/>
  <c r="AB526"/>
  <c r="AC526" s="1"/>
  <c r="AB521"/>
  <c r="AC521" s="1"/>
  <c r="AB410"/>
  <c r="AB304"/>
  <c r="AC304" s="1"/>
  <c r="AB195"/>
  <c r="AC195" s="1"/>
  <c r="T69" i="1"/>
  <c r="AA638" i="3"/>
  <c r="AA657" s="1"/>
  <c r="AB129"/>
  <c r="AC129" s="1"/>
  <c r="AA133"/>
  <c r="AA137"/>
  <c r="U69" i="1" l="1"/>
  <c r="V69" s="1"/>
  <c r="R4" i="2"/>
  <c r="P13"/>
  <c r="R13" s="1"/>
  <c r="S5"/>
  <c r="S6"/>
  <c r="S12"/>
  <c r="S10"/>
  <c r="S9"/>
  <c r="S8"/>
  <c r="S7"/>
  <c r="S4"/>
  <c r="N712" i="4"/>
  <c r="AE678" i="3"/>
  <c r="AF678"/>
  <c r="AE521"/>
  <c r="AF521" s="1"/>
  <c r="AE304"/>
  <c r="AF304" s="1"/>
  <c r="AE129"/>
  <c r="AF129" s="1"/>
  <c r="AE195"/>
  <c r="AF195" s="1"/>
  <c r="AE526"/>
  <c r="AF526" s="1"/>
  <c r="AE883"/>
  <c r="AF883" s="1"/>
  <c r="AB672"/>
  <c r="AB678" s="1"/>
  <c r="N8" i="2"/>
  <c r="AC410" i="3"/>
  <c r="T676"/>
  <c r="AA284"/>
  <c r="Q865" i="4" l="1"/>
  <c r="P865"/>
  <c r="AE410" i="3"/>
  <c r="V676"/>
  <c r="AB317"/>
  <c r="AC317" s="1"/>
  <c r="U712" i="4" l="1"/>
  <c r="AF410" i="3"/>
  <c r="AE317"/>
  <c r="AF317" s="1"/>
  <c r="W676"/>
  <c r="AB63"/>
  <c r="AC63" s="1"/>
  <c r="AE63" l="1"/>
  <c r="AF63" s="1"/>
  <c r="AB708"/>
  <c r="Y676"/>
  <c r="AA858"/>
  <c r="AB616"/>
  <c r="AC616" s="1"/>
  <c r="AC667"/>
  <c r="AE667" s="1"/>
  <c r="Z678"/>
  <c r="AC671"/>
  <c r="AC670"/>
  <c r="AC669"/>
  <c r="AC668"/>
  <c r="AC666"/>
  <c r="AC665"/>
  <c r="AA48"/>
  <c r="AA64" s="1"/>
  <c r="AA784"/>
  <c r="AB59"/>
  <c r="AC59" s="1"/>
  <c r="AB75"/>
  <c r="AC75" s="1"/>
  <c r="AB74"/>
  <c r="AC74" s="1"/>
  <c r="AB73"/>
  <c r="AC73" s="1"/>
  <c r="AB72"/>
  <c r="AC72" s="1"/>
  <c r="AE669" l="1"/>
  <c r="AF669" s="1"/>
  <c r="AF667"/>
  <c r="AE74"/>
  <c r="AF74" s="1"/>
  <c r="AE59"/>
  <c r="AF59" s="1"/>
  <c r="AE666"/>
  <c r="AF666" s="1"/>
  <c r="AE671"/>
  <c r="AF671" s="1"/>
  <c r="AE73"/>
  <c r="AF73" s="1"/>
  <c r="AE668"/>
  <c r="AF668" s="1"/>
  <c r="AE72"/>
  <c r="AF72" s="1"/>
  <c r="AE75"/>
  <c r="AF75" s="1"/>
  <c r="AE665"/>
  <c r="AE670"/>
  <c r="AF670" s="1"/>
  <c r="AE616"/>
  <c r="AF616" s="1"/>
  <c r="AC672"/>
  <c r="N6" i="2"/>
  <c r="AC708" i="3"/>
  <c r="AA330"/>
  <c r="AA332" s="1"/>
  <c r="AB331"/>
  <c r="AC331" s="1"/>
  <c r="AB278"/>
  <c r="AC278" s="1"/>
  <c r="U865" i="4" l="1"/>
  <c r="S865"/>
  <c r="AA865"/>
  <c r="AE708" i="3"/>
  <c r="AF708" s="1"/>
  <c r="AE672"/>
  <c r="AF665"/>
  <c r="AF672" s="1"/>
  <c r="AE331"/>
  <c r="AF331" s="1"/>
  <c r="AE278"/>
  <c r="AF278" s="1"/>
  <c r="N7" i="2"/>
  <c r="AA283" i="3"/>
  <c r="AA295" s="1"/>
  <c r="AA484"/>
  <c r="AB519"/>
  <c r="AC519" s="1"/>
  <c r="AB326"/>
  <c r="W865" i="4" l="1"/>
  <c r="Y865"/>
  <c r="N865"/>
  <c r="AE519" i="3"/>
  <c r="AF519" s="1"/>
  <c r="AA310"/>
  <c r="AA312"/>
  <c r="AA491"/>
  <c r="AA495"/>
  <c r="AB464"/>
  <c r="AC464" s="1"/>
  <c r="AB450"/>
  <c r="AC450" s="1"/>
  <c r="AB111"/>
  <c r="AC111" s="1"/>
  <c r="AB127"/>
  <c r="AC127" s="1"/>
  <c r="AA783"/>
  <c r="AB78"/>
  <c r="AC78" s="1"/>
  <c r="AA362"/>
  <c r="AA367" s="1"/>
  <c r="AA176"/>
  <c r="AA770"/>
  <c r="AA827" s="1"/>
  <c r="T865" i="4" l="1"/>
  <c r="AA496" i="3"/>
  <c r="AE464"/>
  <c r="AF464" s="1"/>
  <c r="AE78"/>
  <c r="AF78" s="1"/>
  <c r="AE450"/>
  <c r="AF450" s="1"/>
  <c r="AE111"/>
  <c r="AF111" s="1"/>
  <c r="AE127"/>
  <c r="AF127" s="1"/>
  <c r="N5" i="2"/>
  <c r="AA319" i="3"/>
  <c r="AB143"/>
  <c r="AC143" s="1"/>
  <c r="AB355"/>
  <c r="AC355" s="1"/>
  <c r="AB448"/>
  <c r="AC448" s="1"/>
  <c r="AB461"/>
  <c r="AC461" s="1"/>
  <c r="AE461" s="1"/>
  <c r="AB591"/>
  <c r="AA369"/>
  <c r="AA371" s="1"/>
  <c r="AC326"/>
  <c r="S10" i="1"/>
  <c r="Q20"/>
  <c r="M27" i="2"/>
  <c r="X784" i="3"/>
  <c r="X123"/>
  <c r="X367"/>
  <c r="L26" i="2"/>
  <c r="L25"/>
  <c r="L24"/>
  <c r="L23"/>
  <c r="L22"/>
  <c r="L21"/>
  <c r="L20"/>
  <c r="L19"/>
  <c r="L18"/>
  <c r="M13"/>
  <c r="R22" i="1"/>
  <c r="T22" s="1"/>
  <c r="V22" s="1"/>
  <c r="X765" i="3"/>
  <c r="R85" i="1"/>
  <c r="T85" s="1"/>
  <c r="V85" s="1"/>
  <c r="R77"/>
  <c r="S77" s="1"/>
  <c r="R72"/>
  <c r="S72" s="1"/>
  <c r="Y126" i="3"/>
  <c r="Z126" s="1"/>
  <c r="AB126" s="1"/>
  <c r="R19" i="1"/>
  <c r="T19" s="1"/>
  <c r="Q95"/>
  <c r="Q93"/>
  <c r="Q10"/>
  <c r="U19" l="1"/>
  <c r="V19" s="1"/>
  <c r="T72"/>
  <c r="V72" s="1"/>
  <c r="T77"/>
  <c r="V77" s="1"/>
  <c r="AE143" i="3"/>
  <c r="AF143" s="1"/>
  <c r="AE355"/>
  <c r="AF355" s="1"/>
  <c r="AE326"/>
  <c r="AF326" s="1"/>
  <c r="AE448"/>
  <c r="AF448" s="1"/>
  <c r="AF461"/>
  <c r="AC591"/>
  <c r="AC126"/>
  <c r="M29" i="2"/>
  <c r="L27"/>
  <c r="X409" i="3"/>
  <c r="Y407"/>
  <c r="Z407" s="1"/>
  <c r="X496"/>
  <c r="Y495"/>
  <c r="Z495" s="1"/>
  <c r="Y484"/>
  <c r="Z484" s="1"/>
  <c r="Y234"/>
  <c r="Z234" s="1"/>
  <c r="Y233"/>
  <c r="Z233" s="1"/>
  <c r="Y169"/>
  <c r="Z169" s="1"/>
  <c r="Y467"/>
  <c r="Z467" s="1"/>
  <c r="X468"/>
  <c r="X62"/>
  <c r="X516"/>
  <c r="X330"/>
  <c r="X120"/>
  <c r="X224"/>
  <c r="Y219"/>
  <c r="Z219" s="1"/>
  <c r="X144"/>
  <c r="Y857"/>
  <c r="Z857" s="1"/>
  <c r="Y201"/>
  <c r="Z201" s="1"/>
  <c r="X838"/>
  <c r="X839" s="1"/>
  <c r="Y837"/>
  <c r="Z837" s="1"/>
  <c r="Y710"/>
  <c r="Z710" s="1"/>
  <c r="Y565"/>
  <c r="Z565" s="1"/>
  <c r="Y543"/>
  <c r="Z543" s="1"/>
  <c r="X413"/>
  <c r="X412"/>
  <c r="X411"/>
  <c r="Y303"/>
  <c r="Z303" s="1"/>
  <c r="Y302"/>
  <c r="Z302" s="1"/>
  <c r="Y268"/>
  <c r="Z268" s="1"/>
  <c r="Y267"/>
  <c r="Z267" s="1"/>
  <c r="Y235"/>
  <c r="Z235" s="1"/>
  <c r="Y194"/>
  <c r="Z194" s="1"/>
  <c r="Y193"/>
  <c r="Z193" s="1"/>
  <c r="Y192"/>
  <c r="Z192" s="1"/>
  <c r="Y191"/>
  <c r="Z191" s="1"/>
  <c r="X649"/>
  <c r="Y322"/>
  <c r="Z322" s="1"/>
  <c r="X856"/>
  <c r="X858" s="1"/>
  <c r="X369"/>
  <c r="X371" s="1"/>
  <c r="Y486"/>
  <c r="Z486" s="1"/>
  <c r="Y131"/>
  <c r="Z131" s="1"/>
  <c r="V865" i="4" l="1"/>
  <c r="AE126" i="3"/>
  <c r="AF126" s="1"/>
  <c r="AE591"/>
  <c r="AF591" s="1"/>
  <c r="AB710"/>
  <c r="AC710" s="1"/>
  <c r="AB191"/>
  <c r="AC191" s="1"/>
  <c r="AB235"/>
  <c r="AC235" s="1"/>
  <c r="AB201"/>
  <c r="AC201" s="1"/>
  <c r="AB194"/>
  <c r="AC194" s="1"/>
  <c r="AB219"/>
  <c r="AC219" s="1"/>
  <c r="AB234"/>
  <c r="AC234" s="1"/>
  <c r="AB193"/>
  <c r="AC193" s="1"/>
  <c r="AB233"/>
  <c r="AC233" s="1"/>
  <c r="AB192"/>
  <c r="AC192" s="1"/>
  <c r="AB857"/>
  <c r="AC857" s="1"/>
  <c r="AB169"/>
  <c r="AC169" s="1"/>
  <c r="X657"/>
  <c r="AB543"/>
  <c r="AC543" s="1"/>
  <c r="AB322"/>
  <c r="AC322" s="1"/>
  <c r="AB268"/>
  <c r="AC268" s="1"/>
  <c r="AB267"/>
  <c r="AC267" s="1"/>
  <c r="AB303"/>
  <c r="AC303" s="1"/>
  <c r="AB565"/>
  <c r="AC565" s="1"/>
  <c r="AB495"/>
  <c r="AC495" s="1"/>
  <c r="AB302"/>
  <c r="AC302" s="1"/>
  <c r="AB467"/>
  <c r="AC467" s="1"/>
  <c r="AB484"/>
  <c r="AC484" s="1"/>
  <c r="AB486"/>
  <c r="AC486" s="1"/>
  <c r="AB131"/>
  <c r="AC131" s="1"/>
  <c r="AD131" s="1"/>
  <c r="AB837"/>
  <c r="AC837" s="1"/>
  <c r="AB407"/>
  <c r="AC407" s="1"/>
  <c r="Y838"/>
  <c r="Z838" s="1"/>
  <c r="Y856"/>
  <c r="Z856" s="1"/>
  <c r="X48"/>
  <c r="X137"/>
  <c r="X254"/>
  <c r="Y252"/>
  <c r="Z252" s="1"/>
  <c r="X119"/>
  <c r="Y110"/>
  <c r="Z110" s="1"/>
  <c r="Y87"/>
  <c r="Z87" s="1"/>
  <c r="X312"/>
  <c r="Z865" i="4" l="1"/>
  <c r="AD133" i="3"/>
  <c r="AE407"/>
  <c r="AF407" s="1"/>
  <c r="AE131"/>
  <c r="AF131" s="1"/>
  <c r="AE302"/>
  <c r="AF302" s="1"/>
  <c r="AE268"/>
  <c r="AF268" s="1"/>
  <c r="AE169"/>
  <c r="AF169" s="1"/>
  <c r="AE233"/>
  <c r="AF233" s="1"/>
  <c r="AE194"/>
  <c r="AF194" s="1"/>
  <c r="AE710"/>
  <c r="AF710" s="1"/>
  <c r="AE486"/>
  <c r="AF486" s="1"/>
  <c r="AE837"/>
  <c r="AF837" s="1"/>
  <c r="AE467"/>
  <c r="AF467" s="1"/>
  <c r="AE303"/>
  <c r="AF303" s="1"/>
  <c r="AE192"/>
  <c r="AF192" s="1"/>
  <c r="AE219"/>
  <c r="AF219" s="1"/>
  <c r="AE191"/>
  <c r="AF191" s="1"/>
  <c r="AE484"/>
  <c r="AF484" s="1"/>
  <c r="AE565"/>
  <c r="AF565" s="1"/>
  <c r="AE267"/>
  <c r="AF267" s="1"/>
  <c r="AE543"/>
  <c r="AF543" s="1"/>
  <c r="AE857"/>
  <c r="AF857" s="1"/>
  <c r="AE234"/>
  <c r="AF234" s="1"/>
  <c r="AE235"/>
  <c r="AF235" s="1"/>
  <c r="AE495"/>
  <c r="AF495" s="1"/>
  <c r="AE322"/>
  <c r="AF322" s="1"/>
  <c r="AE193"/>
  <c r="AF193" s="1"/>
  <c r="AE201"/>
  <c r="AF201" s="1"/>
  <c r="N4" i="2"/>
  <c r="AB87" i="3"/>
  <c r="AC87" s="1"/>
  <c r="AB856"/>
  <c r="AB252"/>
  <c r="AC252" s="1"/>
  <c r="AB110"/>
  <c r="AC110" s="1"/>
  <c r="AB838"/>
  <c r="AC838" s="1"/>
  <c r="X64"/>
  <c r="X786"/>
  <c r="G669"/>
  <c r="D669"/>
  <c r="X668"/>
  <c r="X669" s="1"/>
  <c r="H668"/>
  <c r="L668" s="1"/>
  <c r="N668" s="1"/>
  <c r="Q668" s="1"/>
  <c r="T668" s="1"/>
  <c r="F668"/>
  <c r="Y373"/>
  <c r="Z373" s="1"/>
  <c r="X374"/>
  <c r="AE252" l="1"/>
  <c r="AF252" s="1"/>
  <c r="AE110"/>
  <c r="AF110" s="1"/>
  <c r="AE87"/>
  <c r="AF87" s="1"/>
  <c r="AE838"/>
  <c r="AF838" s="1"/>
  <c r="AC856"/>
  <c r="AB373"/>
  <c r="AC373" s="1"/>
  <c r="X672"/>
  <c r="J668"/>
  <c r="Y62"/>
  <c r="Z62" s="1"/>
  <c r="V668"/>
  <c r="X897"/>
  <c r="X873"/>
  <c r="X827"/>
  <c r="X750"/>
  <c r="X721"/>
  <c r="X618"/>
  <c r="X606"/>
  <c r="X600"/>
  <c r="X594"/>
  <c r="X553"/>
  <c r="X538"/>
  <c r="X430"/>
  <c r="X375"/>
  <c r="X332"/>
  <c r="X319"/>
  <c r="X295"/>
  <c r="X256"/>
  <c r="X182"/>
  <c r="X162"/>
  <c r="X146"/>
  <c r="X133"/>
  <c r="X95"/>
  <c r="X84"/>
  <c r="X34"/>
  <c r="X5"/>
  <c r="K10" i="2"/>
  <c r="L10" s="1"/>
  <c r="K27"/>
  <c r="J25"/>
  <c r="J23"/>
  <c r="J13"/>
  <c r="K4"/>
  <c r="K12"/>
  <c r="L12" s="1"/>
  <c r="K11"/>
  <c r="L11" s="1"/>
  <c r="K9"/>
  <c r="L9" s="1"/>
  <c r="K8"/>
  <c r="L8" s="1"/>
  <c r="K7"/>
  <c r="L7" s="1"/>
  <c r="K6"/>
  <c r="L6" s="1"/>
  <c r="K5"/>
  <c r="L5" s="1"/>
  <c r="N20" i="1"/>
  <c r="N3"/>
  <c r="U765" i="3"/>
  <c r="V335"/>
  <c r="W335" s="1"/>
  <c r="V109"/>
  <c r="W109" s="1"/>
  <c r="Y109" s="1"/>
  <c r="V76"/>
  <c r="W76" s="1"/>
  <c r="V39"/>
  <c r="W39" s="1"/>
  <c r="K13" i="2" l="1"/>
  <c r="K29" s="1"/>
  <c r="L4"/>
  <c r="L13" s="1"/>
  <c r="AE856" i="3"/>
  <c r="AF856" s="1"/>
  <c r="AE373"/>
  <c r="AF373" s="1"/>
  <c r="X674"/>
  <c r="X678" s="1"/>
  <c r="AB62"/>
  <c r="AC62" s="1"/>
  <c r="Y668"/>
  <c r="Y76"/>
  <c r="Z76" s="1"/>
  <c r="Y335"/>
  <c r="Z335" s="1"/>
  <c r="Z109"/>
  <c r="Y39"/>
  <c r="Z39" s="1"/>
  <c r="N70" i="1"/>
  <c r="H8" i="2"/>
  <c r="V864" i="3"/>
  <c r="W864" s="1"/>
  <c r="V847"/>
  <c r="W847" s="1"/>
  <c r="V832"/>
  <c r="W832" s="1"/>
  <c r="V823"/>
  <c r="W823" s="1"/>
  <c r="V805"/>
  <c r="W805" s="1"/>
  <c r="V744"/>
  <c r="W744" s="1"/>
  <c r="F752"/>
  <c r="H752"/>
  <c r="J752" s="1"/>
  <c r="V723"/>
  <c r="W723" s="1"/>
  <c r="V713"/>
  <c r="W713" s="1"/>
  <c r="V691"/>
  <c r="W691" s="1"/>
  <c r="V627"/>
  <c r="V611"/>
  <c r="W611" s="1"/>
  <c r="V567"/>
  <c r="W567" s="1"/>
  <c r="V545"/>
  <c r="W545" s="1"/>
  <c r="V527"/>
  <c r="W527" s="1"/>
  <c r="T504"/>
  <c r="V504" s="1"/>
  <c r="T478"/>
  <c r="V478" s="1"/>
  <c r="T442"/>
  <c r="V442" s="1"/>
  <c r="T419"/>
  <c r="V419" s="1"/>
  <c r="T387"/>
  <c r="V387" s="1"/>
  <c r="T347"/>
  <c r="V347" s="1"/>
  <c r="T305"/>
  <c r="V305" s="1"/>
  <c r="T270"/>
  <c r="V270" s="1"/>
  <c r="W270" s="1"/>
  <c r="T237"/>
  <c r="V237" s="1"/>
  <c r="T171"/>
  <c r="T154"/>
  <c r="V154" s="1"/>
  <c r="V45"/>
  <c r="W45" s="1"/>
  <c r="V789"/>
  <c r="W789" s="1"/>
  <c r="V732"/>
  <c r="W732" s="1"/>
  <c r="V637"/>
  <c r="W637" s="1"/>
  <c r="V443"/>
  <c r="W443" s="1"/>
  <c r="V19"/>
  <c r="W19" s="1"/>
  <c r="V368"/>
  <c r="W368" s="1"/>
  <c r="U83"/>
  <c r="V83" s="1"/>
  <c r="W83" s="1"/>
  <c r="V318"/>
  <c r="W318" s="1"/>
  <c r="V156"/>
  <c r="W156" s="1"/>
  <c r="U139"/>
  <c r="U144" s="1"/>
  <c r="V112"/>
  <c r="W112" s="1"/>
  <c r="V617"/>
  <c r="W617" s="1"/>
  <c r="U58"/>
  <c r="U885"/>
  <c r="V891"/>
  <c r="W891" s="1"/>
  <c r="V123"/>
  <c r="W123" s="1"/>
  <c r="U369"/>
  <c r="U371" s="1"/>
  <c r="V871"/>
  <c r="W871" s="1"/>
  <c r="U737"/>
  <c r="V255"/>
  <c r="W255" s="1"/>
  <c r="U256"/>
  <c r="T256"/>
  <c r="W145"/>
  <c r="Y145" s="1"/>
  <c r="V146"/>
  <c r="U146"/>
  <c r="T146"/>
  <c r="P146"/>
  <c r="O146"/>
  <c r="K146"/>
  <c r="I146"/>
  <c r="G146"/>
  <c r="E146"/>
  <c r="D146"/>
  <c r="V143"/>
  <c r="W143" s="1"/>
  <c r="Y143" s="1"/>
  <c r="V142"/>
  <c r="W142" s="1"/>
  <c r="Y142" s="1"/>
  <c r="O96" i="1"/>
  <c r="V649" i="3"/>
  <c r="W649" s="1"/>
  <c r="U600"/>
  <c r="U5"/>
  <c r="S490"/>
  <c r="S455"/>
  <c r="L79" i="1"/>
  <c r="L70"/>
  <c r="M74"/>
  <c r="O74" s="1"/>
  <c r="L51"/>
  <c r="T885" i="3"/>
  <c r="L36" i="1"/>
  <c r="S641" i="3"/>
  <c r="R369"/>
  <c r="H25" i="2"/>
  <c r="H23"/>
  <c r="H11"/>
  <c r="R765" i="3"/>
  <c r="S71"/>
  <c r="T71" s="1"/>
  <c r="S70"/>
  <c r="T70" s="1"/>
  <c r="S69"/>
  <c r="T69" s="1"/>
  <c r="S68"/>
  <c r="T68" s="1"/>
  <c r="S67"/>
  <c r="T67" s="1"/>
  <c r="S66"/>
  <c r="T66" s="1"/>
  <c r="S65"/>
  <c r="T155"/>
  <c r="U155" s="1"/>
  <c r="T214"/>
  <c r="U214" s="1"/>
  <c r="T79"/>
  <c r="U79" s="1"/>
  <c r="Q84"/>
  <c r="T82"/>
  <c r="T81"/>
  <c r="V81" s="1"/>
  <c r="T80"/>
  <c r="U80" s="1"/>
  <c r="T77"/>
  <c r="U77" s="1"/>
  <c r="R320"/>
  <c r="R759"/>
  <c r="R758"/>
  <c r="R560"/>
  <c r="R559"/>
  <c r="R525"/>
  <c r="R524"/>
  <c r="R501"/>
  <c r="R500"/>
  <c r="R474"/>
  <c r="R473"/>
  <c r="R381"/>
  <c r="R380"/>
  <c r="R340"/>
  <c r="R339"/>
  <c r="R230"/>
  <c r="R229"/>
  <c r="R149"/>
  <c r="R793"/>
  <c r="R402"/>
  <c r="R785"/>
  <c r="R783"/>
  <c r="S872"/>
  <c r="T872" s="1"/>
  <c r="S625"/>
  <c r="T625" s="1"/>
  <c r="S522"/>
  <c r="T522" s="1"/>
  <c r="S502"/>
  <c r="T502" s="1"/>
  <c r="S434"/>
  <c r="T434" s="1"/>
  <c r="R140"/>
  <c r="M64" i="1"/>
  <c r="O64" s="1"/>
  <c r="S212" i="3"/>
  <c r="T212" s="1"/>
  <c r="S184"/>
  <c r="T184" s="1"/>
  <c r="L95" i="1"/>
  <c r="L93"/>
  <c r="L87"/>
  <c r="L10"/>
  <c r="R779" i="3"/>
  <c r="T888"/>
  <c r="R241"/>
  <c r="S137"/>
  <c r="S375"/>
  <c r="S600"/>
  <c r="Q490"/>
  <c r="K82" i="1"/>
  <c r="M82" s="1"/>
  <c r="Q457" i="3"/>
  <c r="S457" s="1"/>
  <c r="H457"/>
  <c r="J457" s="1"/>
  <c r="F457"/>
  <c r="Q32"/>
  <c r="S32" s="1"/>
  <c r="Q308"/>
  <c r="T308" s="1"/>
  <c r="U308" s="1"/>
  <c r="N313"/>
  <c r="P313" s="1"/>
  <c r="Q313" s="1"/>
  <c r="T313" s="1"/>
  <c r="O765"/>
  <c r="O827" s="1"/>
  <c r="H58"/>
  <c r="L58" s="1"/>
  <c r="M58" s="1"/>
  <c r="H722"/>
  <c r="L722" s="1"/>
  <c r="M722" s="1"/>
  <c r="O750"/>
  <c r="O95"/>
  <c r="O5"/>
  <c r="O34"/>
  <c r="O64"/>
  <c r="O84" s="1"/>
  <c r="O133"/>
  <c r="O137"/>
  <c r="O144"/>
  <c r="O162"/>
  <c r="O182"/>
  <c r="O224"/>
  <c r="O254"/>
  <c r="O256" s="1"/>
  <c r="O295"/>
  <c r="O319"/>
  <c r="O332"/>
  <c r="O367"/>
  <c r="O371"/>
  <c r="O375"/>
  <c r="O409"/>
  <c r="O430"/>
  <c r="O468"/>
  <c r="O496"/>
  <c r="O538"/>
  <c r="O553"/>
  <c r="O594"/>
  <c r="O600"/>
  <c r="O657"/>
  <c r="O721"/>
  <c r="O839"/>
  <c r="O858"/>
  <c r="O873"/>
  <c r="O897"/>
  <c r="H882"/>
  <c r="L882" s="1"/>
  <c r="M882" s="1"/>
  <c r="H881"/>
  <c r="L881" s="1"/>
  <c r="H880"/>
  <c r="L880" s="1"/>
  <c r="M880" s="1"/>
  <c r="H879"/>
  <c r="H878"/>
  <c r="L878" s="1"/>
  <c r="M878" s="1"/>
  <c r="N878" s="1"/>
  <c r="H877"/>
  <c r="L877" s="1"/>
  <c r="H876"/>
  <c r="L876" s="1"/>
  <c r="N876" s="1"/>
  <c r="P876" s="1"/>
  <c r="Q876" s="1"/>
  <c r="H875"/>
  <c r="H874"/>
  <c r="L874" s="1"/>
  <c r="M874" s="1"/>
  <c r="H863"/>
  <c r="L863" s="1"/>
  <c r="N863" s="1"/>
  <c r="P863" s="1"/>
  <c r="Q863" s="1"/>
  <c r="S863" s="1"/>
  <c r="T863" s="1"/>
  <c r="H862"/>
  <c r="L862" s="1"/>
  <c r="N862" s="1"/>
  <c r="H861"/>
  <c r="H860"/>
  <c r="L860" s="1"/>
  <c r="N860" s="1"/>
  <c r="H859"/>
  <c r="J859" s="1"/>
  <c r="N846"/>
  <c r="P846" s="1"/>
  <c r="N845"/>
  <c r="P845" s="1"/>
  <c r="M844"/>
  <c r="N844" s="1"/>
  <c r="P844" s="1"/>
  <c r="Q844" s="1"/>
  <c r="S844" s="1"/>
  <c r="T844" s="1"/>
  <c r="N843"/>
  <c r="P843" s="1"/>
  <c r="Q843" s="1"/>
  <c r="S843" s="1"/>
  <c r="T843" s="1"/>
  <c r="M842"/>
  <c r="N842" s="1"/>
  <c r="P842" s="1"/>
  <c r="N841"/>
  <c r="P841" s="1"/>
  <c r="N840"/>
  <c r="P840" s="1"/>
  <c r="Q840" s="1"/>
  <c r="H831"/>
  <c r="L831" s="1"/>
  <c r="N831" s="1"/>
  <c r="P831" s="1"/>
  <c r="Q831" s="1"/>
  <c r="S831" s="1"/>
  <c r="T831" s="1"/>
  <c r="H830"/>
  <c r="J830" s="1"/>
  <c r="H829"/>
  <c r="J829" s="1"/>
  <c r="H828"/>
  <c r="J828" s="1"/>
  <c r="N822"/>
  <c r="P822" s="1"/>
  <c r="Q822" s="1"/>
  <c r="S822" s="1"/>
  <c r="N821"/>
  <c r="P821" s="1"/>
  <c r="Q821" s="1"/>
  <c r="N820"/>
  <c r="P820" s="1"/>
  <c r="N819"/>
  <c r="N817"/>
  <c r="P817" s="1"/>
  <c r="Q817" s="1"/>
  <c r="S817" s="1"/>
  <c r="N804"/>
  <c r="P804" s="1"/>
  <c r="N803"/>
  <c r="P803" s="1"/>
  <c r="N802"/>
  <c r="P802" s="1"/>
  <c r="N801"/>
  <c r="P801" s="1"/>
  <c r="Q801" s="1"/>
  <c r="N800"/>
  <c r="P800" s="1"/>
  <c r="Q800" s="1"/>
  <c r="S800" s="1"/>
  <c r="N799"/>
  <c r="P799" s="1"/>
  <c r="H767"/>
  <c r="L767" s="1"/>
  <c r="N767" s="1"/>
  <c r="H766"/>
  <c r="L766" s="1"/>
  <c r="N766" s="1"/>
  <c r="P766" s="1"/>
  <c r="H765"/>
  <c r="H764"/>
  <c r="L764" s="1"/>
  <c r="N764" s="1"/>
  <c r="P764" s="1"/>
  <c r="Q764" s="1"/>
  <c r="T764" s="1"/>
  <c r="H763"/>
  <c r="H762"/>
  <c r="L762" s="1"/>
  <c r="M762" s="1"/>
  <c r="N762" s="1"/>
  <c r="P762" s="1"/>
  <c r="H761"/>
  <c r="H760"/>
  <c r="J760" s="1"/>
  <c r="H759"/>
  <c r="H758"/>
  <c r="J758" s="1"/>
  <c r="H757"/>
  <c r="H756"/>
  <c r="L756" s="1"/>
  <c r="M756" s="1"/>
  <c r="N756" s="1"/>
  <c r="H755"/>
  <c r="J755" s="1"/>
  <c r="H754"/>
  <c r="H753"/>
  <c r="J753" s="1"/>
  <c r="H751"/>
  <c r="N743"/>
  <c r="P743" s="1"/>
  <c r="Q743" s="1"/>
  <c r="S743" s="1"/>
  <c r="T743" s="1"/>
  <c r="N742"/>
  <c r="P742" s="1"/>
  <c r="N741"/>
  <c r="P741" s="1"/>
  <c r="Q741" s="1"/>
  <c r="S741" s="1"/>
  <c r="N740"/>
  <c r="P740" s="1"/>
  <c r="N739"/>
  <c r="P739" s="1"/>
  <c r="H712"/>
  <c r="J712" s="1"/>
  <c r="H711"/>
  <c r="L711" s="1"/>
  <c r="H690"/>
  <c r="H689"/>
  <c r="J689" s="1"/>
  <c r="H688"/>
  <c r="H687"/>
  <c r="L687" s="1"/>
  <c r="M687" s="1"/>
  <c r="H686"/>
  <c r="L686" s="1"/>
  <c r="N686" s="1"/>
  <c r="P686" s="1"/>
  <c r="H685"/>
  <c r="H684"/>
  <c r="H683"/>
  <c r="H682"/>
  <c r="L682" s="1"/>
  <c r="M682" s="1"/>
  <c r="N682" s="1"/>
  <c r="P682" s="1"/>
  <c r="L681"/>
  <c r="M681" s="1"/>
  <c r="N681" s="1"/>
  <c r="P681" s="1"/>
  <c r="H680"/>
  <c r="L680" s="1"/>
  <c r="M680" s="1"/>
  <c r="N680" s="1"/>
  <c r="P680" s="1"/>
  <c r="Q680" s="1"/>
  <c r="H670"/>
  <c r="M670"/>
  <c r="H626"/>
  <c r="H624"/>
  <c r="L624" s="1"/>
  <c r="M624" s="1"/>
  <c r="N624" s="1"/>
  <c r="P624" s="1"/>
  <c r="Q624" s="1"/>
  <c r="S624" s="1"/>
  <c r="H623"/>
  <c r="J623" s="1"/>
  <c r="H622"/>
  <c r="H621"/>
  <c r="J621" s="1"/>
  <c r="H620"/>
  <c r="L620" s="1"/>
  <c r="N620" s="1"/>
  <c r="P620" s="1"/>
  <c r="Q620" s="1"/>
  <c r="H619"/>
  <c r="L619" s="1"/>
  <c r="N619" s="1"/>
  <c r="M610"/>
  <c r="N610" s="1"/>
  <c r="P610" s="1"/>
  <c r="M609"/>
  <c r="N609" s="1"/>
  <c r="P609" s="1"/>
  <c r="N608"/>
  <c r="M607"/>
  <c r="H566"/>
  <c r="L566" s="1"/>
  <c r="N566" s="1"/>
  <c r="P566" s="1"/>
  <c r="Q566" s="1"/>
  <c r="H564"/>
  <c r="H563"/>
  <c r="L563" s="1"/>
  <c r="N563" s="1"/>
  <c r="P563" s="1"/>
  <c r="H562"/>
  <c r="H561"/>
  <c r="H560"/>
  <c r="L560" s="1"/>
  <c r="M560" s="1"/>
  <c r="N560" s="1"/>
  <c r="P560" s="1"/>
  <c r="H559"/>
  <c r="L559" s="1"/>
  <c r="M559" s="1"/>
  <c r="N559" s="1"/>
  <c r="H558"/>
  <c r="L558" s="1"/>
  <c r="M558" s="1"/>
  <c r="H557"/>
  <c r="H556"/>
  <c r="L556" s="1"/>
  <c r="N556" s="1"/>
  <c r="P556" s="1"/>
  <c r="Q556" s="1"/>
  <c r="H555"/>
  <c r="L555" s="1"/>
  <c r="M555" s="1"/>
  <c r="H554"/>
  <c r="L554" s="1"/>
  <c r="H544"/>
  <c r="L542"/>
  <c r="M542" s="1"/>
  <c r="N542" s="1"/>
  <c r="H541"/>
  <c r="H540"/>
  <c r="L539"/>
  <c r="N539" s="1"/>
  <c r="P539" s="1"/>
  <c r="Q539" s="1"/>
  <c r="S539" s="1"/>
  <c r="T539" s="1"/>
  <c r="N525"/>
  <c r="P525" s="1"/>
  <c r="N524"/>
  <c r="P524" s="1"/>
  <c r="Q524" s="1"/>
  <c r="N523"/>
  <c r="P523" s="1"/>
  <c r="P497"/>
  <c r="Q497" s="1"/>
  <c r="S497" s="1"/>
  <c r="L498"/>
  <c r="H499"/>
  <c r="L499" s="1"/>
  <c r="M499" s="1"/>
  <c r="H500"/>
  <c r="L500" s="1"/>
  <c r="H501"/>
  <c r="J501" s="1"/>
  <c r="H503"/>
  <c r="J503" s="1"/>
  <c r="H505"/>
  <c r="L505" s="1"/>
  <c r="N505" s="1"/>
  <c r="Q505" s="1"/>
  <c r="T505" s="1"/>
  <c r="U505" s="1"/>
  <c r="H506"/>
  <c r="L506" s="1"/>
  <c r="N506" s="1"/>
  <c r="Q506" s="1"/>
  <c r="S506" s="1"/>
  <c r="H507"/>
  <c r="L507" s="1"/>
  <c r="N507" s="1"/>
  <c r="Q507" s="1"/>
  <c r="T507" s="1"/>
  <c r="U507" s="1"/>
  <c r="H508"/>
  <c r="H509"/>
  <c r="L509" s="1"/>
  <c r="N509" s="1"/>
  <c r="Q509" s="1"/>
  <c r="T509" s="1"/>
  <c r="H510"/>
  <c r="L510" s="1"/>
  <c r="N510" s="1"/>
  <c r="Q510" s="1"/>
  <c r="T510" s="1"/>
  <c r="U510" s="1"/>
  <c r="H511"/>
  <c r="H513"/>
  <c r="L513" s="1"/>
  <c r="N513" s="1"/>
  <c r="Q513" s="1"/>
  <c r="T513" s="1"/>
  <c r="U513" s="1"/>
  <c r="H514"/>
  <c r="L514" s="1"/>
  <c r="N514" s="1"/>
  <c r="Q514" s="1"/>
  <c r="T514" s="1"/>
  <c r="U514" s="1"/>
  <c r="H515"/>
  <c r="L515" s="1"/>
  <c r="N515" s="1"/>
  <c r="Q515" s="1"/>
  <c r="T515" s="1"/>
  <c r="H516"/>
  <c r="L516" s="1"/>
  <c r="N516" s="1"/>
  <c r="H517"/>
  <c r="H518"/>
  <c r="L518" s="1"/>
  <c r="N518" s="1"/>
  <c r="Q518" s="1"/>
  <c r="T518" s="1"/>
  <c r="U518" s="1"/>
  <c r="N528"/>
  <c r="Q528" s="1"/>
  <c r="T528" s="1"/>
  <c r="U528" s="1"/>
  <c r="N529"/>
  <c r="Q529" s="1"/>
  <c r="T529" s="1"/>
  <c r="N530"/>
  <c r="Q530" s="1"/>
  <c r="T530" s="1"/>
  <c r="U530" s="1"/>
  <c r="N531"/>
  <c r="Q531" s="1"/>
  <c r="T531" s="1"/>
  <c r="U531" s="1"/>
  <c r="N532"/>
  <c r="Q532" s="1"/>
  <c r="T532" s="1"/>
  <c r="U532" s="1"/>
  <c r="N534"/>
  <c r="Q534" s="1"/>
  <c r="T534" s="1"/>
  <c r="U534" s="1"/>
  <c r="N535"/>
  <c r="Q535" s="1"/>
  <c r="T535" s="1"/>
  <c r="U535" s="1"/>
  <c r="H477"/>
  <c r="L477" s="1"/>
  <c r="N477" s="1"/>
  <c r="P477" s="1"/>
  <c r="H476"/>
  <c r="H475"/>
  <c r="L475" s="1"/>
  <c r="M475" s="1"/>
  <c r="N475" s="1"/>
  <c r="H474"/>
  <c r="L474" s="1"/>
  <c r="M474" s="1"/>
  <c r="H473"/>
  <c r="H472"/>
  <c r="L472" s="1"/>
  <c r="M472" s="1"/>
  <c r="N472" s="1"/>
  <c r="P472" s="1"/>
  <c r="Q472" s="1"/>
  <c r="S472" s="1"/>
  <c r="H471"/>
  <c r="L471" s="1"/>
  <c r="M471" s="1"/>
  <c r="H470"/>
  <c r="L470" s="1"/>
  <c r="N470" s="1"/>
  <c r="P470" s="1"/>
  <c r="Q470" s="1"/>
  <c r="H469"/>
  <c r="L469" s="1"/>
  <c r="M469" s="1"/>
  <c r="N469" s="1"/>
  <c r="P440"/>
  <c r="Q440" s="1"/>
  <c r="S440" s="1"/>
  <c r="H441"/>
  <c r="L441" s="1"/>
  <c r="N441" s="1"/>
  <c r="H439"/>
  <c r="H438"/>
  <c r="L438" s="1"/>
  <c r="M438" s="1"/>
  <c r="N438" s="1"/>
  <c r="H437"/>
  <c r="J437" s="1"/>
  <c r="H436"/>
  <c r="H435"/>
  <c r="J435" s="1"/>
  <c r="H433"/>
  <c r="L433" s="1"/>
  <c r="H432"/>
  <c r="J432" s="1"/>
  <c r="L431"/>
  <c r="N431" s="1"/>
  <c r="P431" s="1"/>
  <c r="P417"/>
  <c r="Q417" s="1"/>
  <c r="S417" s="1"/>
  <c r="T417" s="1"/>
  <c r="H418"/>
  <c r="L418" s="1"/>
  <c r="N418" s="1"/>
  <c r="P418" s="1"/>
  <c r="Q418" s="1"/>
  <c r="S418" s="1"/>
  <c r="H416"/>
  <c r="J416" s="1"/>
  <c r="H415"/>
  <c r="J415" s="1"/>
  <c r="H414"/>
  <c r="J414" s="1"/>
  <c r="H413"/>
  <c r="L413" s="1"/>
  <c r="L412"/>
  <c r="N412" s="1"/>
  <c r="P412" s="1"/>
  <c r="Q412" s="1"/>
  <c r="S412" s="1"/>
  <c r="T412" s="1"/>
  <c r="V412" s="1"/>
  <c r="H411"/>
  <c r="J411" s="1"/>
  <c r="H386"/>
  <c r="L386" s="1"/>
  <c r="N386" s="1"/>
  <c r="P386" s="1"/>
  <c r="Q386" s="1"/>
  <c r="H385"/>
  <c r="L385" s="1"/>
  <c r="M385" s="1"/>
  <c r="N385" s="1"/>
  <c r="P385" s="1"/>
  <c r="H384"/>
  <c r="J384" s="1"/>
  <c r="H383"/>
  <c r="J383" s="1"/>
  <c r="H382"/>
  <c r="H381"/>
  <c r="L381" s="1"/>
  <c r="M381" s="1"/>
  <c r="N381" s="1"/>
  <c r="H380"/>
  <c r="H379"/>
  <c r="H378"/>
  <c r="H377"/>
  <c r="J377" s="1"/>
  <c r="P346"/>
  <c r="Q346" s="1"/>
  <c r="P345"/>
  <c r="Q345" s="1"/>
  <c r="S345" s="1"/>
  <c r="T345" s="1"/>
  <c r="M344"/>
  <c r="N344" s="1"/>
  <c r="M343"/>
  <c r="N343" s="1"/>
  <c r="P343" s="1"/>
  <c r="M342"/>
  <c r="N342" s="1"/>
  <c r="M341"/>
  <c r="N341" s="1"/>
  <c r="P341" s="1"/>
  <c r="Q341" s="1"/>
  <c r="M340"/>
  <c r="N340" s="1"/>
  <c r="P340" s="1"/>
  <c r="M339"/>
  <c r="N339" s="1"/>
  <c r="M338"/>
  <c r="N338" s="1"/>
  <c r="P338" s="1"/>
  <c r="Q338" s="1"/>
  <c r="S338" s="1"/>
  <c r="T338" s="1"/>
  <c r="M337"/>
  <c r="N337" s="1"/>
  <c r="M336"/>
  <c r="N336" s="1"/>
  <c r="P336" s="1"/>
  <c r="Q336" s="1"/>
  <c r="M334"/>
  <c r="N334" s="1"/>
  <c r="P334" s="1"/>
  <c r="M333"/>
  <c r="N333" s="1"/>
  <c r="M301"/>
  <c r="N301" s="1"/>
  <c r="P301" s="1"/>
  <c r="M300"/>
  <c r="N300" s="1"/>
  <c r="P300" s="1"/>
  <c r="M299"/>
  <c r="N299" s="1"/>
  <c r="P299" s="1"/>
  <c r="N298"/>
  <c r="P298" s="1"/>
  <c r="M297"/>
  <c r="N297" s="1"/>
  <c r="M296"/>
  <c r="N296" s="1"/>
  <c r="P296" s="1"/>
  <c r="Q296" s="1"/>
  <c r="S296" s="1"/>
  <c r="P269"/>
  <c r="Q269" s="1"/>
  <c r="M266"/>
  <c r="N266" s="1"/>
  <c r="M265"/>
  <c r="N265" s="1"/>
  <c r="P265" s="1"/>
  <c r="M264"/>
  <c r="N264" s="1"/>
  <c r="P264" s="1"/>
  <c r="M263"/>
  <c r="N263" s="1"/>
  <c r="P263" s="1"/>
  <c r="Q263" s="1"/>
  <c r="M262"/>
  <c r="N262" s="1"/>
  <c r="P262" s="1"/>
  <c r="Q262" s="1"/>
  <c r="M261"/>
  <c r="N261" s="1"/>
  <c r="N260"/>
  <c r="P260" s="1"/>
  <c r="Q260" s="1"/>
  <c r="S260" s="1"/>
  <c r="M259"/>
  <c r="N259" s="1"/>
  <c r="P259" s="1"/>
  <c r="Q259" s="1"/>
  <c r="S259" s="1"/>
  <c r="T259" s="1"/>
  <c r="M258"/>
  <c r="N258" s="1"/>
  <c r="P258" s="1"/>
  <c r="Q258" s="1"/>
  <c r="S258" s="1"/>
  <c r="T258" s="1"/>
  <c r="M257"/>
  <c r="H236"/>
  <c r="L236" s="1"/>
  <c r="N236" s="1"/>
  <c r="H232"/>
  <c r="L232" s="1"/>
  <c r="M232" s="1"/>
  <c r="N232" s="1"/>
  <c r="H231"/>
  <c r="J231" s="1"/>
  <c r="H230"/>
  <c r="L230" s="1"/>
  <c r="M230" s="1"/>
  <c r="H229"/>
  <c r="L229" s="1"/>
  <c r="H228"/>
  <c r="J228" s="1"/>
  <c r="H227"/>
  <c r="J227" s="1"/>
  <c r="H226"/>
  <c r="L226" s="1"/>
  <c r="M226" s="1"/>
  <c r="N226" s="1"/>
  <c r="P226" s="1"/>
  <c r="Q226" s="1"/>
  <c r="H225"/>
  <c r="H190"/>
  <c r="L190" s="1"/>
  <c r="N190" s="1"/>
  <c r="P190" s="1"/>
  <c r="Q190" s="1"/>
  <c r="H189"/>
  <c r="M189"/>
  <c r="H188"/>
  <c r="L188" s="1"/>
  <c r="M188" s="1"/>
  <c r="N188" s="1"/>
  <c r="P188" s="1"/>
  <c r="H186"/>
  <c r="H185"/>
  <c r="L185" s="1"/>
  <c r="N185" s="1"/>
  <c r="H183"/>
  <c r="P165"/>
  <c r="Q165" s="1"/>
  <c r="S165" s="1"/>
  <c r="T165" s="1"/>
  <c r="H170"/>
  <c r="H168"/>
  <c r="L168" s="1"/>
  <c r="M168" s="1"/>
  <c r="H167"/>
  <c r="H166"/>
  <c r="H164"/>
  <c r="L164" s="1"/>
  <c r="M164" s="1"/>
  <c r="N164" s="1"/>
  <c r="P164" s="1"/>
  <c r="H163"/>
  <c r="L163" s="1"/>
  <c r="N163" s="1"/>
  <c r="P163" s="1"/>
  <c r="H153"/>
  <c r="H152"/>
  <c r="H151"/>
  <c r="H150"/>
  <c r="J150" s="1"/>
  <c r="M150"/>
  <c r="H149"/>
  <c r="H148"/>
  <c r="J148" s="1"/>
  <c r="H147"/>
  <c r="L147" s="1"/>
  <c r="M147" s="1"/>
  <c r="N147" s="1"/>
  <c r="P147" s="1"/>
  <c r="P43"/>
  <c r="Q43" s="1"/>
  <c r="S43" s="1"/>
  <c r="T43" s="1"/>
  <c r="H108"/>
  <c r="H107"/>
  <c r="H106"/>
  <c r="L106" s="1"/>
  <c r="N106" s="1"/>
  <c r="P106" s="1"/>
  <c r="H105"/>
  <c r="M105"/>
  <c r="H104"/>
  <c r="H103"/>
  <c r="L103" s="1"/>
  <c r="M103" s="1"/>
  <c r="N103" s="1"/>
  <c r="P103" s="1"/>
  <c r="H102"/>
  <c r="H101"/>
  <c r="L101" s="1"/>
  <c r="M101" s="1"/>
  <c r="N101" s="1"/>
  <c r="P101" s="1"/>
  <c r="H100"/>
  <c r="H99"/>
  <c r="L99" s="1"/>
  <c r="M99" s="1"/>
  <c r="N99" s="1"/>
  <c r="P99" s="1"/>
  <c r="Q99" s="1"/>
  <c r="H98"/>
  <c r="H97"/>
  <c r="L97" s="1"/>
  <c r="N97" s="1"/>
  <c r="P97" s="1"/>
  <c r="Q97" s="1"/>
  <c r="S97" s="1"/>
  <c r="T97" s="1"/>
  <c r="V97" s="1"/>
  <c r="H96"/>
  <c r="H44"/>
  <c r="J44" s="1"/>
  <c r="H42"/>
  <c r="L42" s="1"/>
  <c r="M42" s="1"/>
  <c r="N42" s="1"/>
  <c r="H41"/>
  <c r="L41" s="1"/>
  <c r="M41" s="1"/>
  <c r="N41" s="1"/>
  <c r="H40"/>
  <c r="L40" s="1"/>
  <c r="M40" s="1"/>
  <c r="N40" s="1"/>
  <c r="H38"/>
  <c r="L38" s="1"/>
  <c r="N38" s="1"/>
  <c r="P38" s="1"/>
  <c r="Q38" s="1"/>
  <c r="S38" s="1"/>
  <c r="T38" s="1"/>
  <c r="H37"/>
  <c r="H36"/>
  <c r="L36" s="1"/>
  <c r="M36" s="1"/>
  <c r="N36" s="1"/>
  <c r="H35"/>
  <c r="J35" s="1"/>
  <c r="H18"/>
  <c r="L18" s="1"/>
  <c r="N18" s="1"/>
  <c r="P18" s="1"/>
  <c r="Q18" s="1"/>
  <c r="H16"/>
  <c r="L16" s="1"/>
  <c r="N16" s="1"/>
  <c r="H15"/>
  <c r="L15" s="1"/>
  <c r="N15" s="1"/>
  <c r="P15" s="1"/>
  <c r="Q15" s="1"/>
  <c r="S15" s="1"/>
  <c r="H14"/>
  <c r="J14" s="1"/>
  <c r="H13"/>
  <c r="H12"/>
  <c r="J12" s="1"/>
  <c r="H11"/>
  <c r="H10"/>
  <c r="J10" s="1"/>
  <c r="H9"/>
  <c r="H8"/>
  <c r="J8" s="1"/>
  <c r="H7"/>
  <c r="L7" s="1"/>
  <c r="N7" s="1"/>
  <c r="H6"/>
  <c r="J6" s="1"/>
  <c r="Q889"/>
  <c r="T889" s="1"/>
  <c r="H139"/>
  <c r="L139" s="1"/>
  <c r="N139" s="1"/>
  <c r="P139" s="1"/>
  <c r="H865"/>
  <c r="L865" s="1"/>
  <c r="N865" s="1"/>
  <c r="Q865" s="1"/>
  <c r="T865" s="1"/>
  <c r="U865" s="1"/>
  <c r="H866"/>
  <c r="L866" s="1"/>
  <c r="N866" s="1"/>
  <c r="Q866" s="1"/>
  <c r="T866" s="1"/>
  <c r="U866" s="1"/>
  <c r="H867"/>
  <c r="L867" s="1"/>
  <c r="N867" s="1"/>
  <c r="Q867" s="1"/>
  <c r="T867" s="1"/>
  <c r="H869"/>
  <c r="H870"/>
  <c r="L870" s="1"/>
  <c r="N870" s="1"/>
  <c r="Q870" s="1"/>
  <c r="T870" s="1"/>
  <c r="U870" s="1"/>
  <c r="H138"/>
  <c r="L138" s="1"/>
  <c r="N138" s="1"/>
  <c r="P138" s="1"/>
  <c r="Q85"/>
  <c r="T85" s="1"/>
  <c r="H792"/>
  <c r="L792" s="1"/>
  <c r="N792" s="1"/>
  <c r="P792" s="1"/>
  <c r="Q792" s="1"/>
  <c r="S792" s="1"/>
  <c r="T792" s="1"/>
  <c r="H791"/>
  <c r="H28"/>
  <c r="L28" s="1"/>
  <c r="N28" s="1"/>
  <c r="Q28" s="1"/>
  <c r="T28" s="1"/>
  <c r="U28" s="1"/>
  <c r="E70" i="1"/>
  <c r="G70" s="1"/>
  <c r="H70" s="1"/>
  <c r="I70" s="1"/>
  <c r="E71"/>
  <c r="G71" s="1"/>
  <c r="I71" s="1"/>
  <c r="J71" s="1"/>
  <c r="K71" s="1"/>
  <c r="M71" s="1"/>
  <c r="O71" s="1"/>
  <c r="E7"/>
  <c r="G7" s="1"/>
  <c r="E66"/>
  <c r="G66" s="1"/>
  <c r="E5"/>
  <c r="G5" s="1"/>
  <c r="I5" s="1"/>
  <c r="J5" s="1"/>
  <c r="K5" s="1"/>
  <c r="M5" s="1"/>
  <c r="E4"/>
  <c r="G4" s="1"/>
  <c r="I4" s="1"/>
  <c r="J4" s="1"/>
  <c r="K4" s="1"/>
  <c r="M4" s="1"/>
  <c r="O4" s="1"/>
  <c r="P4" s="1"/>
  <c r="R4" s="1"/>
  <c r="E3"/>
  <c r="G3" s="1"/>
  <c r="I3" s="1"/>
  <c r="J3" s="1"/>
  <c r="K3" s="1"/>
  <c r="M3" s="1"/>
  <c r="D2"/>
  <c r="E2" s="1"/>
  <c r="E11"/>
  <c r="G11" s="1"/>
  <c r="I11" s="1"/>
  <c r="K11" s="1"/>
  <c r="K57"/>
  <c r="M57" s="1"/>
  <c r="O57" s="1"/>
  <c r="K60"/>
  <c r="M60" s="1"/>
  <c r="O60" s="1"/>
  <c r="P60" s="1"/>
  <c r="R60" s="1"/>
  <c r="T60" s="1"/>
  <c r="V60" s="1"/>
  <c r="E18"/>
  <c r="G18" s="1"/>
  <c r="I18" s="1"/>
  <c r="K18" s="1"/>
  <c r="M18" s="1"/>
  <c r="O18" s="1"/>
  <c r="P18" s="1"/>
  <c r="R18" s="1"/>
  <c r="E38"/>
  <c r="G38" s="1"/>
  <c r="I38" s="1"/>
  <c r="K38" s="1"/>
  <c r="M38" s="1"/>
  <c r="O38" s="1"/>
  <c r="P38" s="1"/>
  <c r="R38" s="1"/>
  <c r="T38" s="1"/>
  <c r="V38" s="1"/>
  <c r="E43"/>
  <c r="G43" s="1"/>
  <c r="I43" s="1"/>
  <c r="K43" s="1"/>
  <c r="M43" s="1"/>
  <c r="E51"/>
  <c r="G51" s="1"/>
  <c r="I51" s="1"/>
  <c r="K51" s="1"/>
  <c r="M51" s="1"/>
  <c r="O51" s="1"/>
  <c r="E12"/>
  <c r="G12" s="1"/>
  <c r="I12" s="1"/>
  <c r="K12" s="1"/>
  <c r="M12" s="1"/>
  <c r="O12" s="1"/>
  <c r="P12" s="1"/>
  <c r="R12" s="1"/>
  <c r="D13"/>
  <c r="E13" s="1"/>
  <c r="G13" s="1"/>
  <c r="I13" s="1"/>
  <c r="K13" s="1"/>
  <c r="M13" s="1"/>
  <c r="O13" s="1"/>
  <c r="E14"/>
  <c r="G14" s="1"/>
  <c r="I14" s="1"/>
  <c r="D15"/>
  <c r="E15" s="1"/>
  <c r="E16"/>
  <c r="G16" s="1"/>
  <c r="I16" s="1"/>
  <c r="K16" s="1"/>
  <c r="M16" s="1"/>
  <c r="O16" s="1"/>
  <c r="P16" s="1"/>
  <c r="E17"/>
  <c r="G17" s="1"/>
  <c r="I17" s="1"/>
  <c r="K17" s="1"/>
  <c r="M17" s="1"/>
  <c r="G20"/>
  <c r="I20" s="1"/>
  <c r="K20" s="1"/>
  <c r="M20" s="1"/>
  <c r="O20" s="1"/>
  <c r="P20" s="1"/>
  <c r="R20" s="1"/>
  <c r="E21"/>
  <c r="G21" s="1"/>
  <c r="I21" s="1"/>
  <c r="K21" s="1"/>
  <c r="M21" s="1"/>
  <c r="O21" s="1"/>
  <c r="P21" s="1"/>
  <c r="R21" s="1"/>
  <c r="T21" s="1"/>
  <c r="V21" s="1"/>
  <c r="E23"/>
  <c r="G23" s="1"/>
  <c r="I23" s="1"/>
  <c r="K23" s="1"/>
  <c r="M23" s="1"/>
  <c r="O23" s="1"/>
  <c r="E24"/>
  <c r="G24" s="1"/>
  <c r="I24" s="1"/>
  <c r="K24" s="1"/>
  <c r="M24" s="1"/>
  <c r="O24" s="1"/>
  <c r="P24" s="1"/>
  <c r="E25"/>
  <c r="G25" s="1"/>
  <c r="I25" s="1"/>
  <c r="K25" s="1"/>
  <c r="M25" s="1"/>
  <c r="O25" s="1"/>
  <c r="P25" s="1"/>
  <c r="E26"/>
  <c r="G26" s="1"/>
  <c r="I26" s="1"/>
  <c r="K26" s="1"/>
  <c r="M26" s="1"/>
  <c r="O26" s="1"/>
  <c r="P26" s="1"/>
  <c r="E27"/>
  <c r="G27" s="1"/>
  <c r="I27" s="1"/>
  <c r="K27" s="1"/>
  <c r="M27" s="1"/>
  <c r="E28"/>
  <c r="G28" s="1"/>
  <c r="I28" s="1"/>
  <c r="K28" s="1"/>
  <c r="M28" s="1"/>
  <c r="O28" s="1"/>
  <c r="P28" s="1"/>
  <c r="R28" s="1"/>
  <c r="E29"/>
  <c r="G29" s="1"/>
  <c r="I29" s="1"/>
  <c r="K29" s="1"/>
  <c r="M29" s="1"/>
  <c r="O29" s="1"/>
  <c r="P29" s="1"/>
  <c r="R29" s="1"/>
  <c r="T29" s="1"/>
  <c r="V29" s="1"/>
  <c r="E30"/>
  <c r="G30" s="1"/>
  <c r="I30" s="1"/>
  <c r="K30" s="1"/>
  <c r="M30" s="1"/>
  <c r="O30" s="1"/>
  <c r="P30" s="1"/>
  <c r="R30" s="1"/>
  <c r="T30" s="1"/>
  <c r="V30" s="1"/>
  <c r="E31"/>
  <c r="G31" s="1"/>
  <c r="I31" s="1"/>
  <c r="K31" s="1"/>
  <c r="M31" s="1"/>
  <c r="E32"/>
  <c r="G32" s="1"/>
  <c r="I32" s="1"/>
  <c r="K32" s="1"/>
  <c r="M32" s="1"/>
  <c r="O32" s="1"/>
  <c r="P32" s="1"/>
  <c r="R32" s="1"/>
  <c r="T32" s="1"/>
  <c r="V32" s="1"/>
  <c r="E33"/>
  <c r="G33" s="1"/>
  <c r="I33" s="1"/>
  <c r="K33" s="1"/>
  <c r="M33" s="1"/>
  <c r="I34"/>
  <c r="K34" s="1"/>
  <c r="M34" s="1"/>
  <c r="O34" s="1"/>
  <c r="P34" s="1"/>
  <c r="R34" s="1"/>
  <c r="T34" s="1"/>
  <c r="V34" s="1"/>
  <c r="E35"/>
  <c r="G35" s="1"/>
  <c r="I35" s="1"/>
  <c r="K35" s="1"/>
  <c r="M35" s="1"/>
  <c r="O35" s="1"/>
  <c r="E36"/>
  <c r="G36" s="1"/>
  <c r="I36" s="1"/>
  <c r="K36" s="1"/>
  <c r="M36" s="1"/>
  <c r="O36" s="1"/>
  <c r="P36" s="1"/>
  <c r="R36" s="1"/>
  <c r="E37"/>
  <c r="G37" s="1"/>
  <c r="I37" s="1"/>
  <c r="K37" s="1"/>
  <c r="M37" s="1"/>
  <c r="O37" s="1"/>
  <c r="P37" s="1"/>
  <c r="R37" s="1"/>
  <c r="E39"/>
  <c r="G39" s="1"/>
  <c r="I39" s="1"/>
  <c r="K39" s="1"/>
  <c r="M39" s="1"/>
  <c r="O39" s="1"/>
  <c r="E40"/>
  <c r="G40" s="1"/>
  <c r="I40" s="1"/>
  <c r="K40" s="1"/>
  <c r="M40" s="1"/>
  <c r="O40" s="1"/>
  <c r="P40" s="1"/>
  <c r="R40" s="1"/>
  <c r="T40" s="1"/>
  <c r="V40" s="1"/>
  <c r="E41"/>
  <c r="G41" s="1"/>
  <c r="I41" s="1"/>
  <c r="K41" s="1"/>
  <c r="M41" s="1"/>
  <c r="O41" s="1"/>
  <c r="P41" s="1"/>
  <c r="R41" s="1"/>
  <c r="E42"/>
  <c r="G42" s="1"/>
  <c r="I42" s="1"/>
  <c r="K42" s="1"/>
  <c r="M42" s="1"/>
  <c r="O42" s="1"/>
  <c r="P42" s="1"/>
  <c r="R42" s="1"/>
  <c r="E44"/>
  <c r="G44" s="1"/>
  <c r="I44" s="1"/>
  <c r="K44" s="1"/>
  <c r="M44" s="1"/>
  <c r="O44" s="1"/>
  <c r="P44" s="1"/>
  <c r="R44" s="1"/>
  <c r="T44" s="1"/>
  <c r="E45"/>
  <c r="G45" s="1"/>
  <c r="I45" s="1"/>
  <c r="K45" s="1"/>
  <c r="M45" s="1"/>
  <c r="O45" s="1"/>
  <c r="P45" s="1"/>
  <c r="R45" s="1"/>
  <c r="E46"/>
  <c r="G46" s="1"/>
  <c r="I46" s="1"/>
  <c r="K46" s="1"/>
  <c r="M46" s="1"/>
  <c r="O46" s="1"/>
  <c r="P46" s="1"/>
  <c r="R46" s="1"/>
  <c r="T46" s="1"/>
  <c r="V46" s="1"/>
  <c r="E47"/>
  <c r="G47" s="1"/>
  <c r="I47" s="1"/>
  <c r="K47" s="1"/>
  <c r="M47" s="1"/>
  <c r="E48"/>
  <c r="G48" s="1"/>
  <c r="I48" s="1"/>
  <c r="K48" s="1"/>
  <c r="M48" s="1"/>
  <c r="O48" s="1"/>
  <c r="P48" s="1"/>
  <c r="R48" s="1"/>
  <c r="E49"/>
  <c r="G49" s="1"/>
  <c r="I49" s="1"/>
  <c r="K49" s="1"/>
  <c r="M49" s="1"/>
  <c r="O49" s="1"/>
  <c r="P49" s="1"/>
  <c r="E50"/>
  <c r="G50" s="1"/>
  <c r="I50" s="1"/>
  <c r="K50" s="1"/>
  <c r="M50" s="1"/>
  <c r="O50" s="1"/>
  <c r="P50" s="1"/>
  <c r="R50" s="1"/>
  <c r="T50" s="1"/>
  <c r="V50" s="1"/>
  <c r="E52"/>
  <c r="G52" s="1"/>
  <c r="I52" s="1"/>
  <c r="K52" s="1"/>
  <c r="M52" s="1"/>
  <c r="O52" s="1"/>
  <c r="P52" s="1"/>
  <c r="E53"/>
  <c r="G53" s="1"/>
  <c r="I53" s="1"/>
  <c r="K53" s="1"/>
  <c r="M53" s="1"/>
  <c r="O53" s="1"/>
  <c r="P53" s="1"/>
  <c r="Q53" s="1"/>
  <c r="R53" s="1"/>
  <c r="E54"/>
  <c r="G54" s="1"/>
  <c r="I54" s="1"/>
  <c r="K54" s="1"/>
  <c r="M54" s="1"/>
  <c r="O54" s="1"/>
  <c r="P54" s="1"/>
  <c r="Q54" s="1"/>
  <c r="R54" s="1"/>
  <c r="T54" s="1"/>
  <c r="V54" s="1"/>
  <c r="E55"/>
  <c r="G55" s="1"/>
  <c r="I55" s="1"/>
  <c r="K55" s="1"/>
  <c r="M55" s="1"/>
  <c r="O55" s="1"/>
  <c r="E56"/>
  <c r="G56" s="1"/>
  <c r="I56" s="1"/>
  <c r="E58"/>
  <c r="F58" s="1"/>
  <c r="E59"/>
  <c r="G59" s="1"/>
  <c r="I59" s="1"/>
  <c r="K59" s="1"/>
  <c r="M59" s="1"/>
  <c r="O59" s="1"/>
  <c r="E61"/>
  <c r="G61" s="1"/>
  <c r="I61" s="1"/>
  <c r="K61" s="1"/>
  <c r="M61" s="1"/>
  <c r="E62"/>
  <c r="G62" s="1"/>
  <c r="I62" s="1"/>
  <c r="K62" s="1"/>
  <c r="M62" s="1"/>
  <c r="O62" s="1"/>
  <c r="P62" s="1"/>
  <c r="R62" s="1"/>
  <c r="T62" s="1"/>
  <c r="V62" s="1"/>
  <c r="E63"/>
  <c r="G63" s="1"/>
  <c r="I63" s="1"/>
  <c r="K63" s="1"/>
  <c r="M63" s="1"/>
  <c r="O63" s="1"/>
  <c r="E6"/>
  <c r="G6" s="1"/>
  <c r="I6" s="1"/>
  <c r="K6" s="1"/>
  <c r="M6" s="1"/>
  <c r="O6" s="1"/>
  <c r="P6" s="1"/>
  <c r="R6" s="1"/>
  <c r="K89"/>
  <c r="M89" s="1"/>
  <c r="K91"/>
  <c r="M91" s="1"/>
  <c r="E90"/>
  <c r="F90" s="1"/>
  <c r="E92"/>
  <c r="F92" s="1"/>
  <c r="E73"/>
  <c r="G73" s="1"/>
  <c r="E75"/>
  <c r="G75" s="1"/>
  <c r="I75" s="1"/>
  <c r="K75" s="1"/>
  <c r="M75" s="1"/>
  <c r="E78"/>
  <c r="G78" s="1"/>
  <c r="I78" s="1"/>
  <c r="K78" s="1"/>
  <c r="M78" s="1"/>
  <c r="O78" s="1"/>
  <c r="E79"/>
  <c r="G79" s="1"/>
  <c r="I79" s="1"/>
  <c r="K79" s="1"/>
  <c r="M79" s="1"/>
  <c r="E9"/>
  <c r="G9" s="1"/>
  <c r="E81"/>
  <c r="G81" s="1"/>
  <c r="E83"/>
  <c r="G83" s="1"/>
  <c r="I83" s="1"/>
  <c r="K83" s="1"/>
  <c r="M83" s="1"/>
  <c r="E84"/>
  <c r="G84" s="1"/>
  <c r="I84" s="1"/>
  <c r="K84" s="1"/>
  <c r="M84" s="1"/>
  <c r="G86"/>
  <c r="I86" s="1"/>
  <c r="K86" s="1"/>
  <c r="M86" s="1"/>
  <c r="O86" s="1"/>
  <c r="E94"/>
  <c r="F94" s="1"/>
  <c r="F95" s="1"/>
  <c r="J93"/>
  <c r="J10"/>
  <c r="J87"/>
  <c r="J95"/>
  <c r="H370" i="3"/>
  <c r="L370" s="1"/>
  <c r="N370" s="1"/>
  <c r="P370" s="1"/>
  <c r="Q370" s="1"/>
  <c r="T370" s="1"/>
  <c r="H369"/>
  <c r="H2"/>
  <c r="L2" s="1"/>
  <c r="N2" s="1"/>
  <c r="P2" s="1"/>
  <c r="Q2" s="1"/>
  <c r="T2" s="1"/>
  <c r="H4"/>
  <c r="H3"/>
  <c r="L3" s="1"/>
  <c r="N3" s="1"/>
  <c r="Q3" s="1"/>
  <c r="H47"/>
  <c r="L47" s="1"/>
  <c r="N47" s="1"/>
  <c r="Q47" s="1"/>
  <c r="T47" s="1"/>
  <c r="H48"/>
  <c r="L48" s="1"/>
  <c r="N48" s="1"/>
  <c r="Q48" s="1"/>
  <c r="T48" s="1"/>
  <c r="H49"/>
  <c r="H50"/>
  <c r="L50" s="1"/>
  <c r="N50" s="1"/>
  <c r="Q50" s="1"/>
  <c r="T50" s="1"/>
  <c r="H51"/>
  <c r="L51" s="1"/>
  <c r="N51" s="1"/>
  <c r="Q51" s="1"/>
  <c r="T51" s="1"/>
  <c r="H52"/>
  <c r="L52" s="1"/>
  <c r="N52" s="1"/>
  <c r="Q52" s="1"/>
  <c r="T52" s="1"/>
  <c r="H54"/>
  <c r="J54" s="1"/>
  <c r="H55"/>
  <c r="L55" s="1"/>
  <c r="N55" s="1"/>
  <c r="Q55" s="1"/>
  <c r="T55" s="1"/>
  <c r="H56"/>
  <c r="J56" s="1"/>
  <c r="N57"/>
  <c r="Q57" s="1"/>
  <c r="T57" s="1"/>
  <c r="U57" s="1"/>
  <c r="H60"/>
  <c r="L60" s="1"/>
  <c r="N60" s="1"/>
  <c r="Q60" s="1"/>
  <c r="T60" s="1"/>
  <c r="H61"/>
  <c r="H113"/>
  <c r="L113" s="1"/>
  <c r="N113" s="1"/>
  <c r="Q113" s="1"/>
  <c r="T113" s="1"/>
  <c r="U113" s="1"/>
  <c r="H114"/>
  <c r="L114" s="1"/>
  <c r="N114" s="1"/>
  <c r="Q114" s="1"/>
  <c r="T114" s="1"/>
  <c r="U114" s="1"/>
  <c r="H115"/>
  <c r="J115" s="1"/>
  <c r="H116"/>
  <c r="L116" s="1"/>
  <c r="N116" s="1"/>
  <c r="Q116" s="1"/>
  <c r="T116" s="1"/>
  <c r="U116" s="1"/>
  <c r="H117"/>
  <c r="J117" s="1"/>
  <c r="H118"/>
  <c r="L118" s="1"/>
  <c r="N118" s="1"/>
  <c r="Q118" s="1"/>
  <c r="T118" s="1"/>
  <c r="U118" s="1"/>
  <c r="H119"/>
  <c r="L119" s="1"/>
  <c r="N119" s="1"/>
  <c r="Q119" s="1"/>
  <c r="T119" s="1"/>
  <c r="V119" s="1"/>
  <c r="H120"/>
  <c r="L120" s="1"/>
  <c r="N120" s="1"/>
  <c r="Q120" s="1"/>
  <c r="T120" s="1"/>
  <c r="U120" s="1"/>
  <c r="H121"/>
  <c r="L121" s="1"/>
  <c r="N121" s="1"/>
  <c r="Q121" s="1"/>
  <c r="T121" s="1"/>
  <c r="H122"/>
  <c r="H210"/>
  <c r="L210" s="1"/>
  <c r="M210" s="1"/>
  <c r="N210" s="1"/>
  <c r="Q210" s="1"/>
  <c r="T210" s="1"/>
  <c r="U210" s="1"/>
  <c r="H197"/>
  <c r="H202"/>
  <c r="L202" s="1"/>
  <c r="N202" s="1"/>
  <c r="Q202" s="1"/>
  <c r="T202" s="1"/>
  <c r="H203"/>
  <c r="L203" s="1"/>
  <c r="N203" s="1"/>
  <c r="Q203" s="1"/>
  <c r="T203" s="1"/>
  <c r="U203" s="1"/>
  <c r="H204"/>
  <c r="L204" s="1"/>
  <c r="N204" s="1"/>
  <c r="Q204" s="1"/>
  <c r="T204" s="1"/>
  <c r="U204" s="1"/>
  <c r="H205"/>
  <c r="J205" s="1"/>
  <c r="H207"/>
  <c r="L207" s="1"/>
  <c r="N207" s="1"/>
  <c r="Q207" s="1"/>
  <c r="T207" s="1"/>
  <c r="U207" s="1"/>
  <c r="H208"/>
  <c r="L208" s="1"/>
  <c r="N208" s="1"/>
  <c r="Q208" s="1"/>
  <c r="T208" s="1"/>
  <c r="U208" s="1"/>
  <c r="H209"/>
  <c r="L209" s="1"/>
  <c r="N209" s="1"/>
  <c r="Q209" s="1"/>
  <c r="T209" s="1"/>
  <c r="U209" s="1"/>
  <c r="H211"/>
  <c r="H213"/>
  <c r="H216"/>
  <c r="H217"/>
  <c r="J217" s="1"/>
  <c r="N282"/>
  <c r="Q282" s="1"/>
  <c r="T282" s="1"/>
  <c r="U282" s="1"/>
  <c r="N271"/>
  <c r="Q271" s="1"/>
  <c r="T271" s="1"/>
  <c r="U271" s="1"/>
  <c r="N272"/>
  <c r="Q272" s="1"/>
  <c r="T272" s="1"/>
  <c r="N273"/>
  <c r="Q273" s="1"/>
  <c r="T273" s="1"/>
  <c r="U273" s="1"/>
  <c r="N274"/>
  <c r="Q274" s="1"/>
  <c r="T274" s="1"/>
  <c r="N275"/>
  <c r="Q275" s="1"/>
  <c r="T275" s="1"/>
  <c r="U275" s="1"/>
  <c r="N276"/>
  <c r="Q276" s="1"/>
  <c r="T276" s="1"/>
  <c r="U276" s="1"/>
  <c r="N277"/>
  <c r="Q277" s="1"/>
  <c r="T277" s="1"/>
  <c r="U277" s="1"/>
  <c r="N279"/>
  <c r="Q279" s="1"/>
  <c r="T279" s="1"/>
  <c r="U279" s="1"/>
  <c r="N280"/>
  <c r="Q280" s="1"/>
  <c r="T280" s="1"/>
  <c r="N281"/>
  <c r="Q281" s="1"/>
  <c r="T281" s="1"/>
  <c r="U281" s="1"/>
  <c r="N283"/>
  <c r="Q283" s="1"/>
  <c r="T283" s="1"/>
  <c r="N284"/>
  <c r="Q284" s="1"/>
  <c r="T284" s="1"/>
  <c r="N285"/>
  <c r="Q285" s="1"/>
  <c r="T285" s="1"/>
  <c r="U285" s="1"/>
  <c r="N286"/>
  <c r="Q286" s="1"/>
  <c r="T286" s="1"/>
  <c r="N287"/>
  <c r="Q287" s="1"/>
  <c r="T287" s="1"/>
  <c r="N288"/>
  <c r="Q288" s="1"/>
  <c r="T288" s="1"/>
  <c r="U288" s="1"/>
  <c r="N289"/>
  <c r="Q289" s="1"/>
  <c r="T289" s="1"/>
  <c r="U289" s="1"/>
  <c r="N290"/>
  <c r="Q290" s="1"/>
  <c r="T290" s="1"/>
  <c r="V290" s="1"/>
  <c r="N291"/>
  <c r="Q291" s="1"/>
  <c r="T291" s="1"/>
  <c r="U291" s="1"/>
  <c r="M292"/>
  <c r="N292" s="1"/>
  <c r="Q292" s="1"/>
  <c r="T292" s="1"/>
  <c r="U292" s="1"/>
  <c r="N309"/>
  <c r="Q309" s="1"/>
  <c r="T309" s="1"/>
  <c r="N306"/>
  <c r="Q306" s="1"/>
  <c r="T306" s="1"/>
  <c r="U306" s="1"/>
  <c r="N307"/>
  <c r="Q307" s="1"/>
  <c r="T307" s="1"/>
  <c r="U307" s="1"/>
  <c r="N310"/>
  <c r="Q310" s="1"/>
  <c r="T310" s="1"/>
  <c r="N311"/>
  <c r="Q311" s="1"/>
  <c r="T311" s="1"/>
  <c r="U311" s="1"/>
  <c r="M312"/>
  <c r="N312" s="1"/>
  <c r="Q312" s="1"/>
  <c r="T312" s="1"/>
  <c r="N314"/>
  <c r="Q314" s="1"/>
  <c r="T314" s="1"/>
  <c r="U314" s="1"/>
  <c r="N315"/>
  <c r="Q315" s="1"/>
  <c r="T315" s="1"/>
  <c r="U315" s="1"/>
  <c r="N316"/>
  <c r="Q316" s="1"/>
  <c r="T316" s="1"/>
  <c r="U316" s="1"/>
  <c r="H327"/>
  <c r="J327" s="1"/>
  <c r="H320"/>
  <c r="L320" s="1"/>
  <c r="N320" s="1"/>
  <c r="Q320" s="1"/>
  <c r="T320" s="1"/>
  <c r="H321"/>
  <c r="L321" s="1"/>
  <c r="H324"/>
  <c r="H325"/>
  <c r="L325" s="1"/>
  <c r="N325" s="1"/>
  <c r="Q325" s="1"/>
  <c r="T325" s="1"/>
  <c r="U325" s="1"/>
  <c r="H328"/>
  <c r="H329"/>
  <c r="L329" s="1"/>
  <c r="N329" s="1"/>
  <c r="Q329" s="1"/>
  <c r="T329" s="1"/>
  <c r="H330"/>
  <c r="J330" s="1"/>
  <c r="H372"/>
  <c r="L372" s="1"/>
  <c r="H374"/>
  <c r="L374" s="1"/>
  <c r="N374" s="1"/>
  <c r="Q374" s="1"/>
  <c r="T374" s="1"/>
  <c r="H399"/>
  <c r="J399" s="1"/>
  <c r="H388"/>
  <c r="L388" s="1"/>
  <c r="N388" s="1"/>
  <c r="Q388" s="1"/>
  <c r="H389"/>
  <c r="L389" s="1"/>
  <c r="N389" s="1"/>
  <c r="Q389" s="1"/>
  <c r="T389" s="1"/>
  <c r="U389" s="1"/>
  <c r="H390"/>
  <c r="H391"/>
  <c r="L391" s="1"/>
  <c r="N391" s="1"/>
  <c r="Q391" s="1"/>
  <c r="T391" s="1"/>
  <c r="U391" s="1"/>
  <c r="H392"/>
  <c r="H393"/>
  <c r="L393" s="1"/>
  <c r="N393" s="1"/>
  <c r="Q393" s="1"/>
  <c r="T393" s="1"/>
  <c r="U393" s="1"/>
  <c r="H395"/>
  <c r="L395" s="1"/>
  <c r="N395" s="1"/>
  <c r="Q395" s="1"/>
  <c r="T395" s="1"/>
  <c r="H396"/>
  <c r="L396" s="1"/>
  <c r="N396" s="1"/>
  <c r="Q396" s="1"/>
  <c r="T396" s="1"/>
  <c r="U396" s="1"/>
  <c r="H397"/>
  <c r="L397" s="1"/>
  <c r="N397" s="1"/>
  <c r="Q397" s="1"/>
  <c r="T397" s="1"/>
  <c r="U397" s="1"/>
  <c r="H398"/>
  <c r="H400"/>
  <c r="H401"/>
  <c r="H402"/>
  <c r="H403"/>
  <c r="J403" s="1"/>
  <c r="H404"/>
  <c r="L404" s="1"/>
  <c r="N404" s="1"/>
  <c r="Q404" s="1"/>
  <c r="T404" s="1"/>
  <c r="U404" s="1"/>
  <c r="H405"/>
  <c r="H406"/>
  <c r="L406" s="1"/>
  <c r="N406" s="1"/>
  <c r="Q406" s="1"/>
  <c r="T406" s="1"/>
  <c r="U406" s="1"/>
  <c r="H454"/>
  <c r="L454" s="1"/>
  <c r="N454" s="1"/>
  <c r="Q454" s="1"/>
  <c r="T454" s="1"/>
  <c r="U454" s="1"/>
  <c r="H444"/>
  <c r="L444" s="1"/>
  <c r="N444" s="1"/>
  <c r="Q444" s="1"/>
  <c r="T444" s="1"/>
  <c r="U444" s="1"/>
  <c r="H445"/>
  <c r="H446"/>
  <c r="L446" s="1"/>
  <c r="N446" s="1"/>
  <c r="Q446" s="1"/>
  <c r="T446" s="1"/>
  <c r="U446" s="1"/>
  <c r="H447"/>
  <c r="J447" s="1"/>
  <c r="H449"/>
  <c r="H451"/>
  <c r="H452"/>
  <c r="J452" s="1"/>
  <c r="H453"/>
  <c r="G455"/>
  <c r="H456"/>
  <c r="L456" s="1"/>
  <c r="N456" s="1"/>
  <c r="Q456" s="1"/>
  <c r="T456" s="1"/>
  <c r="U456" s="1"/>
  <c r="H458"/>
  <c r="L458" s="1"/>
  <c r="N458" s="1"/>
  <c r="Q458" s="1"/>
  <c r="T458" s="1"/>
  <c r="U458" s="1"/>
  <c r="H459"/>
  <c r="H460"/>
  <c r="L460" s="1"/>
  <c r="M460" s="1"/>
  <c r="N460" s="1"/>
  <c r="Q460" s="1"/>
  <c r="S460" s="1"/>
  <c r="T460" s="1"/>
  <c r="H462"/>
  <c r="L462" s="1"/>
  <c r="N462" s="1"/>
  <c r="Q462" s="1"/>
  <c r="T462" s="1"/>
  <c r="U462" s="1"/>
  <c r="H463"/>
  <c r="J463" s="1"/>
  <c r="H465"/>
  <c r="L465" s="1"/>
  <c r="N465" s="1"/>
  <c r="Q465" s="1"/>
  <c r="T465" s="1"/>
  <c r="U465" s="1"/>
  <c r="H488"/>
  <c r="L488" s="1"/>
  <c r="N488" s="1"/>
  <c r="Q488" s="1"/>
  <c r="T488" s="1"/>
  <c r="U488" s="1"/>
  <c r="H479"/>
  <c r="L479" s="1"/>
  <c r="N479" s="1"/>
  <c r="Q479" s="1"/>
  <c r="T479" s="1"/>
  <c r="U479" s="1"/>
  <c r="H480"/>
  <c r="H481"/>
  <c r="J481" s="1"/>
  <c r="H482"/>
  <c r="H483"/>
  <c r="L483" s="1"/>
  <c r="N483" s="1"/>
  <c r="Q483" s="1"/>
  <c r="T483" s="1"/>
  <c r="U483" s="1"/>
  <c r="H487"/>
  <c r="H489"/>
  <c r="H491"/>
  <c r="H492"/>
  <c r="H493"/>
  <c r="L493" s="1"/>
  <c r="N493" s="1"/>
  <c r="Q493" s="1"/>
  <c r="T493" s="1"/>
  <c r="U493" s="1"/>
  <c r="H581"/>
  <c r="L581" s="1"/>
  <c r="N581" s="1"/>
  <c r="Q581" s="1"/>
  <c r="T581" s="1"/>
  <c r="U581" s="1"/>
  <c r="H569"/>
  <c r="H570"/>
  <c r="H571"/>
  <c r="L571" s="1"/>
  <c r="N571" s="1"/>
  <c r="Q571" s="1"/>
  <c r="T571" s="1"/>
  <c r="U571" s="1"/>
  <c r="H572"/>
  <c r="H573"/>
  <c r="L573" s="1"/>
  <c r="N573" s="1"/>
  <c r="Q573" s="1"/>
  <c r="T573" s="1"/>
  <c r="U573" s="1"/>
  <c r="H574"/>
  <c r="L574" s="1"/>
  <c r="N574" s="1"/>
  <c r="Q574" s="1"/>
  <c r="T574" s="1"/>
  <c r="U574" s="1"/>
  <c r="H575"/>
  <c r="H576"/>
  <c r="H577"/>
  <c r="L577" s="1"/>
  <c r="N577" s="1"/>
  <c r="Q577" s="1"/>
  <c r="T577" s="1"/>
  <c r="U577" s="1"/>
  <c r="H578"/>
  <c r="L578" s="1"/>
  <c r="N578" s="1"/>
  <c r="Q578" s="1"/>
  <c r="T578" s="1"/>
  <c r="U578" s="1"/>
  <c r="H579"/>
  <c r="L579" s="1"/>
  <c r="N579" s="1"/>
  <c r="Q579" s="1"/>
  <c r="T579" s="1"/>
  <c r="U579" s="1"/>
  <c r="H580"/>
  <c r="L580" s="1"/>
  <c r="N580" s="1"/>
  <c r="Q580" s="1"/>
  <c r="T580" s="1"/>
  <c r="U580" s="1"/>
  <c r="H582"/>
  <c r="H583"/>
  <c r="L583" s="1"/>
  <c r="N583" s="1"/>
  <c r="Q583" s="1"/>
  <c r="T583" s="1"/>
  <c r="U583" s="1"/>
  <c r="H584"/>
  <c r="L584" s="1"/>
  <c r="N584" s="1"/>
  <c r="Q584" s="1"/>
  <c r="T584" s="1"/>
  <c r="U584" s="1"/>
  <c r="H585"/>
  <c r="J585" s="1"/>
  <c r="H586"/>
  <c r="L586" s="1"/>
  <c r="N586" s="1"/>
  <c r="Q586" s="1"/>
  <c r="T586" s="1"/>
  <c r="U586" s="1"/>
  <c r="H587"/>
  <c r="H588"/>
  <c r="H589"/>
  <c r="L589" s="1"/>
  <c r="M589" s="1"/>
  <c r="H590"/>
  <c r="J590" s="1"/>
  <c r="H595"/>
  <c r="H596"/>
  <c r="L596" s="1"/>
  <c r="N596" s="1"/>
  <c r="Q596" s="1"/>
  <c r="T596" s="1"/>
  <c r="V596" s="1"/>
  <c r="H597"/>
  <c r="J597" s="1"/>
  <c r="H598"/>
  <c r="L598" s="1"/>
  <c r="N598" s="1"/>
  <c r="Q598" s="1"/>
  <c r="T598" s="1"/>
  <c r="H599"/>
  <c r="J599" s="1"/>
  <c r="H601"/>
  <c r="L601" s="1"/>
  <c r="N601" s="1"/>
  <c r="Q601" s="1"/>
  <c r="T601" s="1"/>
  <c r="H602"/>
  <c r="L602" s="1"/>
  <c r="N602" s="1"/>
  <c r="Q602" s="1"/>
  <c r="H603"/>
  <c r="L603" s="1"/>
  <c r="N603" s="1"/>
  <c r="Q603" s="1"/>
  <c r="T603" s="1"/>
  <c r="U603" s="1"/>
  <c r="H604"/>
  <c r="L604" s="1"/>
  <c r="N604" s="1"/>
  <c r="Q604" s="1"/>
  <c r="T604" s="1"/>
  <c r="U604" s="1"/>
  <c r="H605"/>
  <c r="N612"/>
  <c r="Q612" s="1"/>
  <c r="T612" s="1"/>
  <c r="N613"/>
  <c r="Q613" s="1"/>
  <c r="T613" s="1"/>
  <c r="U613" s="1"/>
  <c r="N615"/>
  <c r="Q615" s="1"/>
  <c r="T615" s="1"/>
  <c r="H640"/>
  <c r="J640" s="1"/>
  <c r="N654"/>
  <c r="Q654" s="1"/>
  <c r="T654" s="1"/>
  <c r="V654" s="1"/>
  <c r="H628"/>
  <c r="L628" s="1"/>
  <c r="N628" s="1"/>
  <c r="Q628" s="1"/>
  <c r="T628" s="1"/>
  <c r="U628" s="1"/>
  <c r="H630"/>
  <c r="H631"/>
  <c r="L631" s="1"/>
  <c r="N631" s="1"/>
  <c r="Q631" s="1"/>
  <c r="T631" s="1"/>
  <c r="U631" s="1"/>
  <c r="H632"/>
  <c r="H633"/>
  <c r="L633" s="1"/>
  <c r="N633" s="1"/>
  <c r="Q633" s="1"/>
  <c r="T633" s="1"/>
  <c r="U633" s="1"/>
  <c r="H634"/>
  <c r="H635"/>
  <c r="H636"/>
  <c r="L636" s="1"/>
  <c r="N636" s="1"/>
  <c r="Q636" s="1"/>
  <c r="T636" s="1"/>
  <c r="H638"/>
  <c r="L638" s="1"/>
  <c r="N638" s="1"/>
  <c r="Q638" s="1"/>
  <c r="H639"/>
  <c r="L639" s="1"/>
  <c r="N639" s="1"/>
  <c r="Q639" s="1"/>
  <c r="T639" s="1"/>
  <c r="U639" s="1"/>
  <c r="H641"/>
  <c r="L641" s="1"/>
  <c r="N641" s="1"/>
  <c r="Q641" s="1"/>
  <c r="H642"/>
  <c r="H643"/>
  <c r="H644"/>
  <c r="L644" s="1"/>
  <c r="N644" s="1"/>
  <c r="Q644" s="1"/>
  <c r="T644" s="1"/>
  <c r="H645"/>
  <c r="L645" s="1"/>
  <c r="N645" s="1"/>
  <c r="Q645" s="1"/>
  <c r="T645" s="1"/>
  <c r="H646"/>
  <c r="L646" s="1"/>
  <c r="N646" s="1"/>
  <c r="Q646" s="1"/>
  <c r="T646" s="1"/>
  <c r="U646" s="1"/>
  <c r="H647"/>
  <c r="H648"/>
  <c r="L648" s="1"/>
  <c r="N648" s="1"/>
  <c r="Q648" s="1"/>
  <c r="T648" s="1"/>
  <c r="U648" s="1"/>
  <c r="H649"/>
  <c r="L649" s="1"/>
  <c r="N649" s="1"/>
  <c r="Q649" s="1"/>
  <c r="H651"/>
  <c r="L651" s="1"/>
  <c r="M651" s="1"/>
  <c r="H652"/>
  <c r="N653"/>
  <c r="Q653" s="1"/>
  <c r="T653" s="1"/>
  <c r="U653" s="1"/>
  <c r="H655"/>
  <c r="L655" s="1"/>
  <c r="N655" s="1"/>
  <c r="Q655" s="1"/>
  <c r="T655" s="1"/>
  <c r="H714"/>
  <c r="L714" s="1"/>
  <c r="N714" s="1"/>
  <c r="Q714" s="1"/>
  <c r="T714" s="1"/>
  <c r="U714" s="1"/>
  <c r="H715"/>
  <c r="H716"/>
  <c r="J716" s="1"/>
  <c r="H717"/>
  <c r="H718"/>
  <c r="H719"/>
  <c r="H720"/>
  <c r="H731"/>
  <c r="L731" s="1"/>
  <c r="N731" s="1"/>
  <c r="Q731" s="1"/>
  <c r="T731" s="1"/>
  <c r="U731" s="1"/>
  <c r="H724"/>
  <c r="H725"/>
  <c r="J725" s="1"/>
  <c r="H726"/>
  <c r="H727"/>
  <c r="L727" s="1"/>
  <c r="N727" s="1"/>
  <c r="Q727" s="1"/>
  <c r="T727" s="1"/>
  <c r="U727" s="1"/>
  <c r="H728"/>
  <c r="H729"/>
  <c r="G730"/>
  <c r="H733"/>
  <c r="L733" s="1"/>
  <c r="N733" s="1"/>
  <c r="Q733" s="1"/>
  <c r="T733" s="1"/>
  <c r="V733" s="1"/>
  <c r="H734"/>
  <c r="L734" s="1"/>
  <c r="N734" s="1"/>
  <c r="Q734" s="1"/>
  <c r="T734" s="1"/>
  <c r="U734" s="1"/>
  <c r="H735"/>
  <c r="H736"/>
  <c r="H737"/>
  <c r="L738"/>
  <c r="N738" s="1"/>
  <c r="Q738" s="1"/>
  <c r="T738" s="1"/>
  <c r="N745"/>
  <c r="Q745" s="1"/>
  <c r="T745" s="1"/>
  <c r="U745" s="1"/>
  <c r="M746"/>
  <c r="N746" s="1"/>
  <c r="Q746" s="1"/>
  <c r="T746" s="1"/>
  <c r="U746" s="1"/>
  <c r="M747"/>
  <c r="N747" s="1"/>
  <c r="Q747" s="1"/>
  <c r="T747" s="1"/>
  <c r="U747" s="1"/>
  <c r="M748"/>
  <c r="N748" s="1"/>
  <c r="Q748" s="1"/>
  <c r="T748" s="1"/>
  <c r="U748" s="1"/>
  <c r="N749"/>
  <c r="Q749" s="1"/>
  <c r="T749" s="1"/>
  <c r="U749" s="1"/>
  <c r="H780"/>
  <c r="H781"/>
  <c r="H768"/>
  <c r="L768" s="1"/>
  <c r="N768" s="1"/>
  <c r="Q768" s="1"/>
  <c r="T768" s="1"/>
  <c r="H769"/>
  <c r="H770"/>
  <c r="H771"/>
  <c r="L771" s="1"/>
  <c r="N771" s="1"/>
  <c r="Q771" s="1"/>
  <c r="T771" s="1"/>
  <c r="H772"/>
  <c r="H773"/>
  <c r="H774"/>
  <c r="L774" s="1"/>
  <c r="N774" s="1"/>
  <c r="Q774" s="1"/>
  <c r="T774" s="1"/>
  <c r="H775"/>
  <c r="H776"/>
  <c r="L776" s="1"/>
  <c r="N776" s="1"/>
  <c r="Q776" s="1"/>
  <c r="T776" s="1"/>
  <c r="U776" s="1"/>
  <c r="H777"/>
  <c r="H778"/>
  <c r="L778" s="1"/>
  <c r="N778" s="1"/>
  <c r="Q778" s="1"/>
  <c r="T778" s="1"/>
  <c r="U778" s="1"/>
  <c r="H779"/>
  <c r="J779" s="1"/>
  <c r="H782"/>
  <c r="L782" s="1"/>
  <c r="N782" s="1"/>
  <c r="Q782" s="1"/>
  <c r="T782" s="1"/>
  <c r="U782" s="1"/>
  <c r="H783"/>
  <c r="M783"/>
  <c r="H784"/>
  <c r="L784" s="1"/>
  <c r="N784" s="1"/>
  <c r="Q784" s="1"/>
  <c r="T784" s="1"/>
  <c r="U784" s="1"/>
  <c r="H785"/>
  <c r="L785" s="1"/>
  <c r="N785" s="1"/>
  <c r="Q785" s="1"/>
  <c r="H786"/>
  <c r="L786" s="1"/>
  <c r="N786" s="1"/>
  <c r="Q786" s="1"/>
  <c r="S786" s="1"/>
  <c r="T786" s="1"/>
  <c r="H787"/>
  <c r="L787" s="1"/>
  <c r="N787" s="1"/>
  <c r="Q787" s="1"/>
  <c r="T787" s="1"/>
  <c r="U787" s="1"/>
  <c r="H788"/>
  <c r="N793"/>
  <c r="Q793" s="1"/>
  <c r="H797"/>
  <c r="H798"/>
  <c r="L798" s="1"/>
  <c r="N798" s="1"/>
  <c r="Q798" s="1"/>
  <c r="N806"/>
  <c r="Q806" s="1"/>
  <c r="T806" s="1"/>
  <c r="U806" s="1"/>
  <c r="N807"/>
  <c r="Q807" s="1"/>
  <c r="T807" s="1"/>
  <c r="U807" s="1"/>
  <c r="N808"/>
  <c r="Q808" s="1"/>
  <c r="T808" s="1"/>
  <c r="U808" s="1"/>
  <c r="N809"/>
  <c r="Q809" s="1"/>
  <c r="T809" s="1"/>
  <c r="U809" s="1"/>
  <c r="N811"/>
  <c r="Q811" s="1"/>
  <c r="T811" s="1"/>
  <c r="U811" s="1"/>
  <c r="N812"/>
  <c r="Q812" s="1"/>
  <c r="T812" s="1"/>
  <c r="U812" s="1"/>
  <c r="N813"/>
  <c r="Q813" s="1"/>
  <c r="T813" s="1"/>
  <c r="U813" s="1"/>
  <c r="N814"/>
  <c r="Q814" s="1"/>
  <c r="S814" s="1"/>
  <c r="T814" s="1"/>
  <c r="U814" s="1"/>
  <c r="N824"/>
  <c r="Q824" s="1"/>
  <c r="T824" s="1"/>
  <c r="U824" s="1"/>
  <c r="N825"/>
  <c r="Q825" s="1"/>
  <c r="T825" s="1"/>
  <c r="H834"/>
  <c r="H836"/>
  <c r="H172"/>
  <c r="H173"/>
  <c r="L173" s="1"/>
  <c r="N173" s="1"/>
  <c r="Q173" s="1"/>
  <c r="T173" s="1"/>
  <c r="H174"/>
  <c r="L174" s="1"/>
  <c r="N174" s="1"/>
  <c r="Q174" s="1"/>
  <c r="T174" s="1"/>
  <c r="U174" s="1"/>
  <c r="H175"/>
  <c r="H176"/>
  <c r="H177"/>
  <c r="L177" s="1"/>
  <c r="N177" s="1"/>
  <c r="Q177" s="1"/>
  <c r="T177" s="1"/>
  <c r="U177" s="1"/>
  <c r="H178"/>
  <c r="L178" s="1"/>
  <c r="N178" s="1"/>
  <c r="Q178" s="1"/>
  <c r="T178" s="1"/>
  <c r="U178" s="1"/>
  <c r="H179"/>
  <c r="L179" s="1"/>
  <c r="N179" s="1"/>
  <c r="Q179" s="1"/>
  <c r="T179" s="1"/>
  <c r="U179" s="1"/>
  <c r="H180"/>
  <c r="L180" s="1"/>
  <c r="N180" s="1"/>
  <c r="Q180" s="1"/>
  <c r="T180" s="1"/>
  <c r="H181"/>
  <c r="L181" s="1"/>
  <c r="N181" s="1"/>
  <c r="Q181" s="1"/>
  <c r="T181" s="1"/>
  <c r="U181" s="1"/>
  <c r="H692"/>
  <c r="H693"/>
  <c r="H694"/>
  <c r="J694" s="1"/>
  <c r="H695"/>
  <c r="L695" s="1"/>
  <c r="N695" s="1"/>
  <c r="Q695" s="1"/>
  <c r="T695" s="1"/>
  <c r="U695" s="1"/>
  <c r="H696"/>
  <c r="H697"/>
  <c r="H698"/>
  <c r="H699"/>
  <c r="L699" s="1"/>
  <c r="N699" s="1"/>
  <c r="Q699" s="1"/>
  <c r="T699" s="1"/>
  <c r="U699" s="1"/>
  <c r="H701"/>
  <c r="H702"/>
  <c r="L702" s="1"/>
  <c r="N702" s="1"/>
  <c r="Q702" s="1"/>
  <c r="T702" s="1"/>
  <c r="U702" s="1"/>
  <c r="H703"/>
  <c r="H704"/>
  <c r="L704" s="1"/>
  <c r="N704" s="1"/>
  <c r="Q704" s="1"/>
  <c r="T704" s="1"/>
  <c r="U704" s="1"/>
  <c r="H705"/>
  <c r="H706"/>
  <c r="H707"/>
  <c r="H20"/>
  <c r="L20" s="1"/>
  <c r="N20" s="1"/>
  <c r="Q20" s="1"/>
  <c r="T20" s="1"/>
  <c r="H21"/>
  <c r="L21" s="1"/>
  <c r="N21" s="1"/>
  <c r="Q21" s="1"/>
  <c r="T21" s="1"/>
  <c r="U21" s="1"/>
  <c r="H22"/>
  <c r="H24"/>
  <c r="H25"/>
  <c r="H26"/>
  <c r="H27"/>
  <c r="L27" s="1"/>
  <c r="N27" s="1"/>
  <c r="Q27" s="1"/>
  <c r="T27" s="1"/>
  <c r="H30"/>
  <c r="L30" s="1"/>
  <c r="N30" s="1"/>
  <c r="Q30" s="1"/>
  <c r="T30" s="1"/>
  <c r="U30" s="1"/>
  <c r="H31"/>
  <c r="L31" s="1"/>
  <c r="N31" s="1"/>
  <c r="Q31" s="1"/>
  <c r="T31" s="1"/>
  <c r="U31" s="1"/>
  <c r="N33"/>
  <c r="Q33" s="1"/>
  <c r="T33" s="1"/>
  <c r="H86"/>
  <c r="L86" s="1"/>
  <c r="N86" s="1"/>
  <c r="Q86" s="1"/>
  <c r="T86" s="1"/>
  <c r="U86" s="1"/>
  <c r="H88"/>
  <c r="H89"/>
  <c r="L89" s="1"/>
  <c r="N89" s="1"/>
  <c r="Q89" s="1"/>
  <c r="T89" s="1"/>
  <c r="U89" s="1"/>
  <c r="H90"/>
  <c r="L90" s="1"/>
  <c r="N90" s="1"/>
  <c r="Q90" s="1"/>
  <c r="T90" s="1"/>
  <c r="H91"/>
  <c r="L91" s="1"/>
  <c r="N91" s="1"/>
  <c r="Q91" s="1"/>
  <c r="T91" s="1"/>
  <c r="H92"/>
  <c r="H93"/>
  <c r="H94"/>
  <c r="H134"/>
  <c r="L134" s="1"/>
  <c r="H140"/>
  <c r="H141"/>
  <c r="H157"/>
  <c r="L157" s="1"/>
  <c r="N157" s="1"/>
  <c r="Q157" s="1"/>
  <c r="T157" s="1"/>
  <c r="U157" s="1"/>
  <c r="H158"/>
  <c r="J158" s="1"/>
  <c r="H159"/>
  <c r="H160"/>
  <c r="J160" s="1"/>
  <c r="H239"/>
  <c r="H240"/>
  <c r="H241"/>
  <c r="L241" s="1"/>
  <c r="M241" s="1"/>
  <c r="N241" s="1"/>
  <c r="Q241" s="1"/>
  <c r="T241" s="1"/>
  <c r="H242"/>
  <c r="J242" s="1"/>
  <c r="H243"/>
  <c r="H244"/>
  <c r="H246"/>
  <c r="H247"/>
  <c r="L247" s="1"/>
  <c r="N247" s="1"/>
  <c r="Q247" s="1"/>
  <c r="T247" s="1"/>
  <c r="H248"/>
  <c r="H249"/>
  <c r="L249" s="1"/>
  <c r="N249" s="1"/>
  <c r="Q249" s="1"/>
  <c r="T249" s="1"/>
  <c r="U249" s="1"/>
  <c r="H250"/>
  <c r="L250" s="1"/>
  <c r="N250" s="1"/>
  <c r="Q250" s="1"/>
  <c r="T250" s="1"/>
  <c r="U250" s="1"/>
  <c r="H251"/>
  <c r="L251" s="1"/>
  <c r="N251" s="1"/>
  <c r="Q251" s="1"/>
  <c r="T251" s="1"/>
  <c r="U251" s="1"/>
  <c r="N348"/>
  <c r="Q348" s="1"/>
  <c r="T348" s="1"/>
  <c r="U348" s="1"/>
  <c r="N349"/>
  <c r="Q349" s="1"/>
  <c r="T349" s="1"/>
  <c r="U349" s="1"/>
  <c r="N350"/>
  <c r="Q350" s="1"/>
  <c r="T350" s="1"/>
  <c r="U350" s="1"/>
  <c r="N351"/>
  <c r="Q351" s="1"/>
  <c r="T351" s="1"/>
  <c r="U351" s="1"/>
  <c r="N352"/>
  <c r="Q352" s="1"/>
  <c r="N353"/>
  <c r="Q353" s="1"/>
  <c r="T353" s="1"/>
  <c r="U353" s="1"/>
  <c r="N354"/>
  <c r="Q354" s="1"/>
  <c r="T354" s="1"/>
  <c r="U354" s="1"/>
  <c r="N356"/>
  <c r="Q356" s="1"/>
  <c r="T356" s="1"/>
  <c r="U356" s="1"/>
  <c r="N357"/>
  <c r="Q357" s="1"/>
  <c r="T357" s="1"/>
  <c r="N358"/>
  <c r="Q358" s="1"/>
  <c r="T358" s="1"/>
  <c r="U358" s="1"/>
  <c r="N359"/>
  <c r="Q359" s="1"/>
  <c r="T359" s="1"/>
  <c r="U359" s="1"/>
  <c r="N360"/>
  <c r="Q360" s="1"/>
  <c r="T360" s="1"/>
  <c r="U360" s="1"/>
  <c r="N361"/>
  <c r="Q361" s="1"/>
  <c r="T361" s="1"/>
  <c r="N362"/>
  <c r="Q362" s="1"/>
  <c r="T362" s="1"/>
  <c r="U362" s="1"/>
  <c r="N363"/>
  <c r="Q363" s="1"/>
  <c r="T363" s="1"/>
  <c r="U363" s="1"/>
  <c r="N364"/>
  <c r="Q364" s="1"/>
  <c r="T364" s="1"/>
  <c r="U364" s="1"/>
  <c r="N365"/>
  <c r="Q365" s="1"/>
  <c r="T365" s="1"/>
  <c r="V365" s="1"/>
  <c r="H420"/>
  <c r="L420" s="1"/>
  <c r="N420" s="1"/>
  <c r="Q420" s="1"/>
  <c r="T420" s="1"/>
  <c r="U420" s="1"/>
  <c r="H421"/>
  <c r="H422"/>
  <c r="J422" s="1"/>
  <c r="H423"/>
  <c r="L423" s="1"/>
  <c r="N423" s="1"/>
  <c r="Q423" s="1"/>
  <c r="T423" s="1"/>
  <c r="H424"/>
  <c r="H425"/>
  <c r="L425" s="1"/>
  <c r="N425" s="1"/>
  <c r="Q425" s="1"/>
  <c r="T425" s="1"/>
  <c r="U425" s="1"/>
  <c r="H426"/>
  <c r="L426" s="1"/>
  <c r="N426" s="1"/>
  <c r="Q426" s="1"/>
  <c r="T426" s="1"/>
  <c r="U426" s="1"/>
  <c r="H547"/>
  <c r="H549"/>
  <c r="H550"/>
  <c r="H551"/>
  <c r="L551" s="1"/>
  <c r="M551" s="1"/>
  <c r="N551" s="1"/>
  <c r="Q551" s="1"/>
  <c r="S551" s="1"/>
  <c r="H552"/>
  <c r="N848"/>
  <c r="Q848" s="1"/>
  <c r="T848" s="1"/>
  <c r="M849"/>
  <c r="N849" s="1"/>
  <c r="Q849" s="1"/>
  <c r="T849" s="1"/>
  <c r="U849" s="1"/>
  <c r="N850"/>
  <c r="Q850" s="1"/>
  <c r="T850" s="1"/>
  <c r="U850" s="1"/>
  <c r="N851"/>
  <c r="Q851" s="1"/>
  <c r="T851" s="1"/>
  <c r="U851" s="1"/>
  <c r="N852"/>
  <c r="Q852" s="1"/>
  <c r="T852" s="1"/>
  <c r="U852" s="1"/>
  <c r="N853"/>
  <c r="Q853" s="1"/>
  <c r="T853" s="1"/>
  <c r="U853" s="1"/>
  <c r="N854"/>
  <c r="Q854" s="1"/>
  <c r="T854" s="1"/>
  <c r="U854" s="1"/>
  <c r="N855"/>
  <c r="Q855" s="1"/>
  <c r="T855" s="1"/>
  <c r="U855" s="1"/>
  <c r="H886"/>
  <c r="L886" s="1"/>
  <c r="N886" s="1"/>
  <c r="Q886" s="1"/>
  <c r="T886" s="1"/>
  <c r="H887"/>
  <c r="H890"/>
  <c r="H892"/>
  <c r="L892" s="1"/>
  <c r="N892" s="1"/>
  <c r="Q892" s="1"/>
  <c r="T892" s="1"/>
  <c r="H893"/>
  <c r="H894"/>
  <c r="L894" s="1"/>
  <c r="N894" s="1"/>
  <c r="Q894" s="1"/>
  <c r="T894" s="1"/>
  <c r="H895"/>
  <c r="H896"/>
  <c r="P332"/>
  <c r="P375"/>
  <c r="P600"/>
  <c r="P137"/>
  <c r="F20" i="2"/>
  <c r="F21"/>
  <c r="F18"/>
  <c r="F19"/>
  <c r="F22"/>
  <c r="F23"/>
  <c r="F24"/>
  <c r="F25"/>
  <c r="F26"/>
  <c r="E27"/>
  <c r="F4"/>
  <c r="F5"/>
  <c r="F6"/>
  <c r="F7"/>
  <c r="F9"/>
  <c r="F10"/>
  <c r="F12"/>
  <c r="F11"/>
  <c r="E13"/>
  <c r="G27"/>
  <c r="G13"/>
  <c r="E91" i="1"/>
  <c r="F91" s="1"/>
  <c r="G91" s="1"/>
  <c r="F411" i="3"/>
  <c r="F108"/>
  <c r="F107"/>
  <c r="H814"/>
  <c r="J814" s="1"/>
  <c r="F814"/>
  <c r="H813"/>
  <c r="J813" s="1"/>
  <c r="F813"/>
  <c r="H812"/>
  <c r="J812" s="1"/>
  <c r="F812"/>
  <c r="H811"/>
  <c r="J811" s="1"/>
  <c r="F811"/>
  <c r="H809"/>
  <c r="J809" s="1"/>
  <c r="F809"/>
  <c r="H808"/>
  <c r="J808" s="1"/>
  <c r="F808"/>
  <c r="H807"/>
  <c r="J807" s="1"/>
  <c r="F807"/>
  <c r="H806"/>
  <c r="J806" s="1"/>
  <c r="F806"/>
  <c r="H804"/>
  <c r="J804" s="1"/>
  <c r="F804"/>
  <c r="H803"/>
  <c r="J803" s="1"/>
  <c r="F803"/>
  <c r="H825"/>
  <c r="J825" s="1"/>
  <c r="F825"/>
  <c r="H824"/>
  <c r="J824" s="1"/>
  <c r="F824"/>
  <c r="H822"/>
  <c r="J822" s="1"/>
  <c r="F822"/>
  <c r="H821"/>
  <c r="J821" s="1"/>
  <c r="F821"/>
  <c r="H820"/>
  <c r="J820" s="1"/>
  <c r="F820"/>
  <c r="H819"/>
  <c r="J819" s="1"/>
  <c r="F819"/>
  <c r="H817"/>
  <c r="J817" s="1"/>
  <c r="F817"/>
  <c r="H840"/>
  <c r="J840" s="1"/>
  <c r="H841"/>
  <c r="J841" s="1"/>
  <c r="H842"/>
  <c r="J842" s="1"/>
  <c r="H843"/>
  <c r="J843" s="1"/>
  <c r="H844"/>
  <c r="J844" s="1"/>
  <c r="H845"/>
  <c r="J845" s="1"/>
  <c r="H846"/>
  <c r="J846" s="1"/>
  <c r="H848"/>
  <c r="J848" s="1"/>
  <c r="H849"/>
  <c r="J849" s="1"/>
  <c r="H850"/>
  <c r="J850" s="1"/>
  <c r="H851"/>
  <c r="J851" s="1"/>
  <c r="H852"/>
  <c r="J852" s="1"/>
  <c r="H853"/>
  <c r="J853" s="1"/>
  <c r="H854"/>
  <c r="J854" s="1"/>
  <c r="H855"/>
  <c r="J855" s="1"/>
  <c r="L858"/>
  <c r="K858"/>
  <c r="I858"/>
  <c r="G858"/>
  <c r="F840"/>
  <c r="F841"/>
  <c r="F842"/>
  <c r="F843"/>
  <c r="F844"/>
  <c r="F845"/>
  <c r="F846"/>
  <c r="F848"/>
  <c r="F849"/>
  <c r="F850"/>
  <c r="F851"/>
  <c r="F852"/>
  <c r="F853"/>
  <c r="F854"/>
  <c r="F855"/>
  <c r="E858"/>
  <c r="D858"/>
  <c r="H749"/>
  <c r="J749" s="1"/>
  <c r="F749"/>
  <c r="H748"/>
  <c r="J748" s="1"/>
  <c r="F748"/>
  <c r="H747"/>
  <c r="J747" s="1"/>
  <c r="F747"/>
  <c r="H746"/>
  <c r="J746" s="1"/>
  <c r="F746"/>
  <c r="H745"/>
  <c r="J745" s="1"/>
  <c r="F745"/>
  <c r="H743"/>
  <c r="J743" s="1"/>
  <c r="F743"/>
  <c r="H742"/>
  <c r="J742" s="1"/>
  <c r="F742"/>
  <c r="H741"/>
  <c r="J741" s="1"/>
  <c r="F741"/>
  <c r="H740"/>
  <c r="J740" s="1"/>
  <c r="F740"/>
  <c r="J739"/>
  <c r="H615"/>
  <c r="J615" s="1"/>
  <c r="F615"/>
  <c r="H613"/>
  <c r="J613" s="1"/>
  <c r="F613"/>
  <c r="H612"/>
  <c r="J612" s="1"/>
  <c r="F612"/>
  <c r="H610"/>
  <c r="J610" s="1"/>
  <c r="F610"/>
  <c r="H609"/>
  <c r="J609" s="1"/>
  <c r="F609"/>
  <c r="H608"/>
  <c r="J608" s="1"/>
  <c r="F608"/>
  <c r="H607"/>
  <c r="J607" s="1"/>
  <c r="F607"/>
  <c r="H535"/>
  <c r="J535" s="1"/>
  <c r="F535"/>
  <c r="H534"/>
  <c r="J534" s="1"/>
  <c r="F534"/>
  <c r="H532"/>
  <c r="J532" s="1"/>
  <c r="F532"/>
  <c r="H531"/>
  <c r="J531" s="1"/>
  <c r="F531"/>
  <c r="H530"/>
  <c r="J530" s="1"/>
  <c r="F530"/>
  <c r="H529"/>
  <c r="J529" s="1"/>
  <c r="F529"/>
  <c r="H528"/>
  <c r="J528" s="1"/>
  <c r="F528"/>
  <c r="H525"/>
  <c r="J525" s="1"/>
  <c r="F525"/>
  <c r="H524"/>
  <c r="J524" s="1"/>
  <c r="F524"/>
  <c r="H523"/>
  <c r="J523" s="1"/>
  <c r="F523"/>
  <c r="H333"/>
  <c r="H334"/>
  <c r="J334" s="1"/>
  <c r="H336"/>
  <c r="J336" s="1"/>
  <c r="H337"/>
  <c r="J337" s="1"/>
  <c r="H338"/>
  <c r="J338" s="1"/>
  <c r="H339"/>
  <c r="J339" s="1"/>
  <c r="H340"/>
  <c r="J340" s="1"/>
  <c r="H341"/>
  <c r="J341" s="1"/>
  <c r="H342"/>
  <c r="J342" s="1"/>
  <c r="H343"/>
  <c r="J343" s="1"/>
  <c r="H344"/>
  <c r="J344" s="1"/>
  <c r="H348"/>
  <c r="J348" s="1"/>
  <c r="H349"/>
  <c r="J349" s="1"/>
  <c r="H350"/>
  <c r="J350" s="1"/>
  <c r="H351"/>
  <c r="J351" s="1"/>
  <c r="H352"/>
  <c r="J352" s="1"/>
  <c r="H353"/>
  <c r="J353" s="1"/>
  <c r="H354"/>
  <c r="J354" s="1"/>
  <c r="H356"/>
  <c r="J356" s="1"/>
  <c r="H357"/>
  <c r="J357" s="1"/>
  <c r="H358"/>
  <c r="J358" s="1"/>
  <c r="H359"/>
  <c r="J359" s="1"/>
  <c r="H360"/>
  <c r="J360" s="1"/>
  <c r="H361"/>
  <c r="J361" s="1"/>
  <c r="H362"/>
  <c r="J362" s="1"/>
  <c r="H363"/>
  <c r="J363" s="1"/>
  <c r="H364"/>
  <c r="J364" s="1"/>
  <c r="L367"/>
  <c r="K367"/>
  <c r="J365"/>
  <c r="I367"/>
  <c r="G367"/>
  <c r="F333"/>
  <c r="F334"/>
  <c r="F336"/>
  <c r="F337"/>
  <c r="F338"/>
  <c r="F339"/>
  <c r="F340"/>
  <c r="F341"/>
  <c r="F342"/>
  <c r="F343"/>
  <c r="F344"/>
  <c r="F348"/>
  <c r="F349"/>
  <c r="F350"/>
  <c r="F351"/>
  <c r="F352"/>
  <c r="F353"/>
  <c r="F354"/>
  <c r="F356"/>
  <c r="F357"/>
  <c r="F358"/>
  <c r="F359"/>
  <c r="F360"/>
  <c r="F361"/>
  <c r="F362"/>
  <c r="F363"/>
  <c r="F364"/>
  <c r="E367"/>
  <c r="D367"/>
  <c r="H296"/>
  <c r="J296" s="1"/>
  <c r="H297"/>
  <c r="J297" s="1"/>
  <c r="H298"/>
  <c r="J298" s="1"/>
  <c r="H299"/>
  <c r="J299" s="1"/>
  <c r="H300"/>
  <c r="J300" s="1"/>
  <c r="H301"/>
  <c r="J301" s="1"/>
  <c r="H307"/>
  <c r="J307" s="1"/>
  <c r="H309"/>
  <c r="J309" s="1"/>
  <c r="H310"/>
  <c r="J310" s="1"/>
  <c r="H311"/>
  <c r="J311" s="1"/>
  <c r="H312"/>
  <c r="H314"/>
  <c r="J314" s="1"/>
  <c r="H315"/>
  <c r="J315" s="1"/>
  <c r="H316"/>
  <c r="J316" s="1"/>
  <c r="L319"/>
  <c r="K319"/>
  <c r="J306"/>
  <c r="I312"/>
  <c r="I319" s="1"/>
  <c r="G319"/>
  <c r="F296"/>
  <c r="F297"/>
  <c r="F298"/>
  <c r="F299"/>
  <c r="F300"/>
  <c r="F301"/>
  <c r="F307"/>
  <c r="F309"/>
  <c r="F310"/>
  <c r="F311"/>
  <c r="E312"/>
  <c r="F312" s="1"/>
  <c r="F314"/>
  <c r="F315"/>
  <c r="F316"/>
  <c r="D319"/>
  <c r="L295"/>
  <c r="H33"/>
  <c r="J33" s="1"/>
  <c r="F33"/>
  <c r="M137"/>
  <c r="M375"/>
  <c r="M600"/>
  <c r="M839"/>
  <c r="E60" i="1"/>
  <c r="G60" s="1"/>
  <c r="E57"/>
  <c r="G57" s="1"/>
  <c r="H95"/>
  <c r="H87"/>
  <c r="H65"/>
  <c r="H10"/>
  <c r="H8"/>
  <c r="K750" i="3"/>
  <c r="J738"/>
  <c r="I750"/>
  <c r="D27" i="2"/>
  <c r="C27"/>
  <c r="D13"/>
  <c r="C13"/>
  <c r="I139" i="3"/>
  <c r="I144" s="1"/>
  <c r="K133"/>
  <c r="K144"/>
  <c r="K5"/>
  <c r="K34"/>
  <c r="K64"/>
  <c r="K84" s="1"/>
  <c r="K95"/>
  <c r="K137"/>
  <c r="K162"/>
  <c r="K182"/>
  <c r="K224"/>
  <c r="K254"/>
  <c r="K256" s="1"/>
  <c r="K332"/>
  <c r="K371"/>
  <c r="K375"/>
  <c r="K409"/>
  <c r="K430"/>
  <c r="K468"/>
  <c r="K496"/>
  <c r="K538"/>
  <c r="K553"/>
  <c r="K594"/>
  <c r="K606" s="1"/>
  <c r="K600"/>
  <c r="K618"/>
  <c r="K657"/>
  <c r="K721"/>
  <c r="K827"/>
  <c r="K839"/>
  <c r="K873"/>
  <c r="K897"/>
  <c r="I241"/>
  <c r="I369"/>
  <c r="I371" s="1"/>
  <c r="J412"/>
  <c r="J431"/>
  <c r="J498"/>
  <c r="J539"/>
  <c r="J542"/>
  <c r="J681"/>
  <c r="F87" i="1"/>
  <c r="I182" i="3"/>
  <c r="I657"/>
  <c r="I496"/>
  <c r="I468"/>
  <c r="I137"/>
  <c r="F655"/>
  <c r="F8" i="1"/>
  <c r="F10"/>
  <c r="F80"/>
  <c r="I5" i="3"/>
  <c r="I34"/>
  <c r="I64"/>
  <c r="I84" s="1"/>
  <c r="I95"/>
  <c r="I133"/>
  <c r="I162"/>
  <c r="I224"/>
  <c r="I332"/>
  <c r="I375"/>
  <c r="I409"/>
  <c r="I430"/>
  <c r="I538"/>
  <c r="I553"/>
  <c r="I594"/>
  <c r="I606" s="1"/>
  <c r="I600"/>
  <c r="I618"/>
  <c r="I721"/>
  <c r="I827"/>
  <c r="I839"/>
  <c r="I873"/>
  <c r="G5"/>
  <c r="G34"/>
  <c r="G64"/>
  <c r="G84" s="1"/>
  <c r="G95"/>
  <c r="G133"/>
  <c r="G137"/>
  <c r="G144"/>
  <c r="G162"/>
  <c r="G182"/>
  <c r="G224"/>
  <c r="G254"/>
  <c r="G256" s="1"/>
  <c r="G332"/>
  <c r="G371"/>
  <c r="G375"/>
  <c r="G409"/>
  <c r="G430"/>
  <c r="G496"/>
  <c r="G538"/>
  <c r="G553"/>
  <c r="G594"/>
  <c r="G606" s="1"/>
  <c r="G600"/>
  <c r="G618"/>
  <c r="G657"/>
  <c r="G721"/>
  <c r="G827"/>
  <c r="G839"/>
  <c r="G873"/>
  <c r="F2"/>
  <c r="F3"/>
  <c r="F4"/>
  <c r="F6"/>
  <c r="F7"/>
  <c r="F8"/>
  <c r="F9"/>
  <c r="F10"/>
  <c r="F11"/>
  <c r="F12"/>
  <c r="F13"/>
  <c r="F14"/>
  <c r="F15"/>
  <c r="F16"/>
  <c r="F18"/>
  <c r="F20"/>
  <c r="F21"/>
  <c r="F22"/>
  <c r="F24"/>
  <c r="F25"/>
  <c r="F26"/>
  <c r="F27"/>
  <c r="F28"/>
  <c r="F30"/>
  <c r="F31"/>
  <c r="F35"/>
  <c r="F36"/>
  <c r="F37"/>
  <c r="F38"/>
  <c r="F40"/>
  <c r="F41"/>
  <c r="F42"/>
  <c r="F44"/>
  <c r="F47"/>
  <c r="F48"/>
  <c r="F49"/>
  <c r="F50"/>
  <c r="F51"/>
  <c r="F52"/>
  <c r="F54"/>
  <c r="F55"/>
  <c r="F56"/>
  <c r="F58"/>
  <c r="F60"/>
  <c r="F61"/>
  <c r="F86"/>
  <c r="F88"/>
  <c r="F89"/>
  <c r="F90"/>
  <c r="F91"/>
  <c r="F92"/>
  <c r="F93"/>
  <c r="F94"/>
  <c r="F96"/>
  <c r="F97"/>
  <c r="F98"/>
  <c r="F99"/>
  <c r="F100"/>
  <c r="F101"/>
  <c r="F102"/>
  <c r="F103"/>
  <c r="F104"/>
  <c r="F105"/>
  <c r="F106"/>
  <c r="F113"/>
  <c r="F114"/>
  <c r="F115"/>
  <c r="F116"/>
  <c r="F117"/>
  <c r="F118"/>
  <c r="F119"/>
  <c r="F120"/>
  <c r="F121"/>
  <c r="F122"/>
  <c r="F134"/>
  <c r="F137" s="1"/>
  <c r="F138"/>
  <c r="E139"/>
  <c r="E144" s="1"/>
  <c r="F140"/>
  <c r="F141"/>
  <c r="F147"/>
  <c r="F148"/>
  <c r="F149"/>
  <c r="F150"/>
  <c r="F151"/>
  <c r="F152"/>
  <c r="F153"/>
  <c r="F157"/>
  <c r="F158"/>
  <c r="F159"/>
  <c r="F160"/>
  <c r="F164"/>
  <c r="F166"/>
  <c r="F167"/>
  <c r="F168"/>
  <c r="F170"/>
  <c r="F172"/>
  <c r="F173"/>
  <c r="F174"/>
  <c r="F175"/>
  <c r="F176"/>
  <c r="F177"/>
  <c r="F178"/>
  <c r="F179"/>
  <c r="F180"/>
  <c r="F181"/>
  <c r="F183"/>
  <c r="F185"/>
  <c r="F186"/>
  <c r="F188"/>
  <c r="F189"/>
  <c r="F190"/>
  <c r="F197"/>
  <c r="F202"/>
  <c r="F203"/>
  <c r="F204"/>
  <c r="F205"/>
  <c r="F207"/>
  <c r="F208"/>
  <c r="F209"/>
  <c r="F210"/>
  <c r="F211"/>
  <c r="F213"/>
  <c r="F216"/>
  <c r="F217"/>
  <c r="F225"/>
  <c r="F226"/>
  <c r="F227"/>
  <c r="F228"/>
  <c r="F229"/>
  <c r="F230"/>
  <c r="F231"/>
  <c r="F232"/>
  <c r="F236"/>
  <c r="F239"/>
  <c r="F240"/>
  <c r="F241"/>
  <c r="F242"/>
  <c r="F243"/>
  <c r="F244"/>
  <c r="F246"/>
  <c r="F247"/>
  <c r="F248"/>
  <c r="F249"/>
  <c r="F250"/>
  <c r="F251"/>
  <c r="E320"/>
  <c r="F320" s="1"/>
  <c r="F321"/>
  <c r="F324"/>
  <c r="F325"/>
  <c r="F327"/>
  <c r="F328"/>
  <c r="F329"/>
  <c r="E330"/>
  <c r="F330" s="1"/>
  <c r="E369"/>
  <c r="F369" s="1"/>
  <c r="F370"/>
  <c r="F372"/>
  <c r="F374"/>
  <c r="F377"/>
  <c r="F378"/>
  <c r="F379"/>
  <c r="F380"/>
  <c r="F381"/>
  <c r="F382"/>
  <c r="F383"/>
  <c r="F384"/>
  <c r="F385"/>
  <c r="F386"/>
  <c r="E388"/>
  <c r="F388" s="1"/>
  <c r="F389"/>
  <c r="F390"/>
  <c r="F391"/>
  <c r="F392"/>
  <c r="F393"/>
  <c r="F395"/>
  <c r="F396"/>
  <c r="F397"/>
  <c r="F398"/>
  <c r="F399"/>
  <c r="F400"/>
  <c r="F401"/>
  <c r="F402"/>
  <c r="F403"/>
  <c r="F404"/>
  <c r="F405"/>
  <c r="F406"/>
  <c r="F413"/>
  <c r="F414"/>
  <c r="F415"/>
  <c r="F416"/>
  <c r="F418"/>
  <c r="F420"/>
  <c r="F421"/>
  <c r="F422"/>
  <c r="F423"/>
  <c r="F424"/>
  <c r="F425"/>
  <c r="F426"/>
  <c r="F432"/>
  <c r="F433"/>
  <c r="F435"/>
  <c r="F436"/>
  <c r="F437"/>
  <c r="F438"/>
  <c r="F439"/>
  <c r="F441"/>
  <c r="F444"/>
  <c r="F445"/>
  <c r="F446"/>
  <c r="F447"/>
  <c r="F449"/>
  <c r="F451"/>
  <c r="F452"/>
  <c r="F453"/>
  <c r="F454"/>
  <c r="F455"/>
  <c r="F456"/>
  <c r="F458"/>
  <c r="F459"/>
  <c r="F460"/>
  <c r="F462"/>
  <c r="F463"/>
  <c r="F465"/>
  <c r="F469"/>
  <c r="F470"/>
  <c r="F471"/>
  <c r="F472"/>
  <c r="F473"/>
  <c r="F474"/>
  <c r="F475"/>
  <c r="F476"/>
  <c r="F477"/>
  <c r="F479"/>
  <c r="F480"/>
  <c r="F481"/>
  <c r="F482"/>
  <c r="F483"/>
  <c r="F487"/>
  <c r="F488"/>
  <c r="F489"/>
  <c r="F491"/>
  <c r="F492"/>
  <c r="F493"/>
  <c r="F499"/>
  <c r="F500"/>
  <c r="F501"/>
  <c r="F503"/>
  <c r="F505"/>
  <c r="F506"/>
  <c r="F507"/>
  <c r="F508"/>
  <c r="F509"/>
  <c r="F510"/>
  <c r="F511"/>
  <c r="F513"/>
  <c r="F514"/>
  <c r="F515"/>
  <c r="F516"/>
  <c r="F517"/>
  <c r="F518"/>
  <c r="F540"/>
  <c r="F541"/>
  <c r="F544"/>
  <c r="F547"/>
  <c r="F549"/>
  <c r="F550"/>
  <c r="F551"/>
  <c r="F552"/>
  <c r="F554"/>
  <c r="F555"/>
  <c r="F556"/>
  <c r="F557"/>
  <c r="F558"/>
  <c r="F559"/>
  <c r="F560"/>
  <c r="F561"/>
  <c r="F562"/>
  <c r="F563"/>
  <c r="F564"/>
  <c r="F566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5"/>
  <c r="F596"/>
  <c r="F597"/>
  <c r="F598"/>
  <c r="F599"/>
  <c r="F601"/>
  <c r="F602"/>
  <c r="F603"/>
  <c r="F604"/>
  <c r="F605"/>
  <c r="F619"/>
  <c r="F620"/>
  <c r="F621"/>
  <c r="F622"/>
  <c r="F623"/>
  <c r="F624"/>
  <c r="F626"/>
  <c r="F628"/>
  <c r="F630"/>
  <c r="F631"/>
  <c r="F632"/>
  <c r="F633"/>
  <c r="F634"/>
  <c r="F635"/>
  <c r="F636"/>
  <c r="F638"/>
  <c r="F639"/>
  <c r="F640"/>
  <c r="F641"/>
  <c r="F642"/>
  <c r="F643"/>
  <c r="F644"/>
  <c r="F645"/>
  <c r="F646"/>
  <c r="F647"/>
  <c r="F648"/>
  <c r="F649"/>
  <c r="F651"/>
  <c r="F652"/>
  <c r="F670"/>
  <c r="F680"/>
  <c r="F682"/>
  <c r="F683"/>
  <c r="F684"/>
  <c r="F685"/>
  <c r="F686"/>
  <c r="F687"/>
  <c r="F688"/>
  <c r="F689"/>
  <c r="F690"/>
  <c r="F692"/>
  <c r="F693"/>
  <c r="F694"/>
  <c r="F695"/>
  <c r="F696"/>
  <c r="F697"/>
  <c r="F698"/>
  <c r="F699"/>
  <c r="F701"/>
  <c r="F702"/>
  <c r="F703"/>
  <c r="F704"/>
  <c r="F705"/>
  <c r="F706"/>
  <c r="F707"/>
  <c r="F711"/>
  <c r="F712"/>
  <c r="F714"/>
  <c r="F715"/>
  <c r="F716"/>
  <c r="F717"/>
  <c r="F718"/>
  <c r="F719"/>
  <c r="F720"/>
  <c r="F722"/>
  <c r="F724"/>
  <c r="F725"/>
  <c r="F726"/>
  <c r="F727"/>
  <c r="F728"/>
  <c r="F729"/>
  <c r="F730"/>
  <c r="F731"/>
  <c r="F733"/>
  <c r="F734"/>
  <c r="F735"/>
  <c r="F736"/>
  <c r="F737"/>
  <c r="F751"/>
  <c r="F753"/>
  <c r="F754"/>
  <c r="F755"/>
  <c r="F756"/>
  <c r="F757"/>
  <c r="F758"/>
  <c r="F759"/>
  <c r="F760"/>
  <c r="F761"/>
  <c r="F762"/>
  <c r="F763"/>
  <c r="F764"/>
  <c r="F765"/>
  <c r="F766"/>
  <c r="F767"/>
  <c r="E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91"/>
  <c r="F792"/>
  <c r="F797"/>
  <c r="F798"/>
  <c r="F828"/>
  <c r="F829"/>
  <c r="F830"/>
  <c r="F831"/>
  <c r="F834"/>
  <c r="F836"/>
  <c r="F859"/>
  <c r="F860"/>
  <c r="F861"/>
  <c r="F862"/>
  <c r="F863"/>
  <c r="F865"/>
  <c r="F866"/>
  <c r="F867"/>
  <c r="F869"/>
  <c r="F870"/>
  <c r="F874"/>
  <c r="F875"/>
  <c r="F876"/>
  <c r="F877"/>
  <c r="F878"/>
  <c r="F879"/>
  <c r="F880"/>
  <c r="F881"/>
  <c r="F882"/>
  <c r="F886"/>
  <c r="F887"/>
  <c r="F890"/>
  <c r="F892"/>
  <c r="F893"/>
  <c r="F894"/>
  <c r="F895"/>
  <c r="F896"/>
  <c r="E5"/>
  <c r="E34"/>
  <c r="E64"/>
  <c r="E84" s="1"/>
  <c r="E95"/>
  <c r="E137"/>
  <c r="E162"/>
  <c r="E182"/>
  <c r="E224"/>
  <c r="E254"/>
  <c r="E256" s="1"/>
  <c r="E375"/>
  <c r="E430"/>
  <c r="E468"/>
  <c r="E496"/>
  <c r="E538"/>
  <c r="E594"/>
  <c r="E606" s="1"/>
  <c r="E600"/>
  <c r="E618"/>
  <c r="E721"/>
  <c r="E750"/>
  <c r="E839"/>
  <c r="E873"/>
  <c r="D5"/>
  <c r="D34"/>
  <c r="D64"/>
  <c r="D84" s="1"/>
  <c r="D95"/>
  <c r="D133"/>
  <c r="D137"/>
  <c r="D144"/>
  <c r="D162"/>
  <c r="D182"/>
  <c r="D224"/>
  <c r="D254"/>
  <c r="D256" s="1"/>
  <c r="D332"/>
  <c r="D371"/>
  <c r="D375"/>
  <c r="D409"/>
  <c r="D430"/>
  <c r="D468"/>
  <c r="D496"/>
  <c r="D538"/>
  <c r="D553"/>
  <c r="D594"/>
  <c r="D606" s="1"/>
  <c r="D600"/>
  <c r="D618"/>
  <c r="D657"/>
  <c r="D721"/>
  <c r="D750"/>
  <c r="D827"/>
  <c r="D839"/>
  <c r="D873"/>
  <c r="I897"/>
  <c r="G897"/>
  <c r="E897"/>
  <c r="D897"/>
  <c r="D95" i="1"/>
  <c r="D93"/>
  <c r="D87"/>
  <c r="D8"/>
  <c r="D10"/>
  <c r="D80"/>
  <c r="C65"/>
  <c r="C8"/>
  <c r="C10"/>
  <c r="C80"/>
  <c r="C87"/>
  <c r="C93"/>
  <c r="C95"/>
  <c r="T516" i="3"/>
  <c r="U516" s="1"/>
  <c r="F65" i="1"/>
  <c r="I66"/>
  <c r="J66" s="1"/>
  <c r="L65" l="1"/>
  <c r="G29" i="2"/>
  <c r="S41" i="1"/>
  <c r="T41" s="1"/>
  <c r="S37"/>
  <c r="T37" s="1"/>
  <c r="V37" s="1"/>
  <c r="S12"/>
  <c r="T12" s="1"/>
  <c r="S18"/>
  <c r="T18" s="1"/>
  <c r="V18" s="1"/>
  <c r="S42"/>
  <c r="T42" s="1"/>
  <c r="E29" i="2"/>
  <c r="S53" i="1"/>
  <c r="T53" s="1"/>
  <c r="S48"/>
  <c r="T48" s="1"/>
  <c r="V48" s="1"/>
  <c r="U44"/>
  <c r="V44" s="1"/>
  <c r="S4"/>
  <c r="T4" s="1"/>
  <c r="S6"/>
  <c r="T6" s="1"/>
  <c r="S45"/>
  <c r="T45" s="1"/>
  <c r="V45" s="1"/>
  <c r="S36"/>
  <c r="T36" s="1"/>
  <c r="V36" s="1"/>
  <c r="S28"/>
  <c r="T28" s="1"/>
  <c r="V28" s="1"/>
  <c r="S20"/>
  <c r="T20" s="1"/>
  <c r="V20" s="1"/>
  <c r="F27" i="2"/>
  <c r="AB865" i="4"/>
  <c r="AE62" i="3"/>
  <c r="AF62" s="1"/>
  <c r="N687"/>
  <c r="P687" s="1"/>
  <c r="Q687" s="1"/>
  <c r="S687" s="1"/>
  <c r="T687" s="1"/>
  <c r="D672"/>
  <c r="D678"/>
  <c r="D674"/>
  <c r="X709"/>
  <c r="X898" s="1"/>
  <c r="G672"/>
  <c r="G678"/>
  <c r="G674"/>
  <c r="J626"/>
  <c r="J134"/>
  <c r="J137" s="1"/>
  <c r="J584"/>
  <c r="J509"/>
  <c r="L755"/>
  <c r="N755" s="1"/>
  <c r="P755" s="1"/>
  <c r="I669"/>
  <c r="I672" s="1"/>
  <c r="K669"/>
  <c r="K672" s="1"/>
  <c r="W627"/>
  <c r="Y627" s="1"/>
  <c r="O669"/>
  <c r="O672" s="1"/>
  <c r="L452"/>
  <c r="N452" s="1"/>
  <c r="Q452" s="1"/>
  <c r="T452" s="1"/>
  <c r="U452" s="1"/>
  <c r="V452" s="1"/>
  <c r="W452" s="1"/>
  <c r="J731"/>
  <c r="AB39"/>
  <c r="AC39" s="1"/>
  <c r="AB335"/>
  <c r="AC335" s="1"/>
  <c r="AB109"/>
  <c r="AC109" s="1"/>
  <c r="AB76"/>
  <c r="AC76" s="1"/>
  <c r="Q52" i="1"/>
  <c r="R52" s="1"/>
  <c r="Q49"/>
  <c r="R49" s="1"/>
  <c r="T49" s="1"/>
  <c r="Q26"/>
  <c r="R26" s="1"/>
  <c r="Q24"/>
  <c r="R24" s="1"/>
  <c r="Q16"/>
  <c r="R16" s="1"/>
  <c r="T16" s="1"/>
  <c r="Q25"/>
  <c r="R25" s="1"/>
  <c r="Y669" i="3"/>
  <c r="F669"/>
  <c r="E669"/>
  <c r="J18"/>
  <c r="Y649"/>
  <c r="Z649" s="1"/>
  <c r="Z142"/>
  <c r="W146"/>
  <c r="Y146"/>
  <c r="Y871"/>
  <c r="Z871" s="1"/>
  <c r="Y123"/>
  <c r="Z123" s="1"/>
  <c r="Y617"/>
  <c r="Z617" s="1"/>
  <c r="Y318"/>
  <c r="Z318" s="1"/>
  <c r="Y368"/>
  <c r="Y443"/>
  <c r="Z443" s="1"/>
  <c r="Y732"/>
  <c r="Z732" s="1"/>
  <c r="Y45"/>
  <c r="Z45" s="1"/>
  <c r="Y545"/>
  <c r="Z545" s="1"/>
  <c r="Y611"/>
  <c r="Z611" s="1"/>
  <c r="Y691"/>
  <c r="Z691" s="1"/>
  <c r="Y723"/>
  <c r="Z723" s="1"/>
  <c r="Y805"/>
  <c r="Z805" s="1"/>
  <c r="Y832"/>
  <c r="Z832" s="1"/>
  <c r="Y864"/>
  <c r="Z864" s="1"/>
  <c r="W256"/>
  <c r="Y255"/>
  <c r="Y256" s="1"/>
  <c r="Y891"/>
  <c r="Z891" s="1"/>
  <c r="Y112"/>
  <c r="Z112" s="1"/>
  <c r="Y156"/>
  <c r="Z156" s="1"/>
  <c r="Y83"/>
  <c r="Z83" s="1"/>
  <c r="Y19"/>
  <c r="Z19" s="1"/>
  <c r="Y637"/>
  <c r="Z637" s="1"/>
  <c r="Y789"/>
  <c r="Z789" s="1"/>
  <c r="Y270"/>
  <c r="Z270" s="1"/>
  <c r="Y527"/>
  <c r="Z527" s="1"/>
  <c r="Y567"/>
  <c r="Z567" s="1"/>
  <c r="Y713"/>
  <c r="Z713" s="1"/>
  <c r="Y744"/>
  <c r="Z744" s="1"/>
  <c r="Y823"/>
  <c r="Z823" s="1"/>
  <c r="Y847"/>
  <c r="Z847" s="1"/>
  <c r="L752"/>
  <c r="M752" s="1"/>
  <c r="N752" s="1"/>
  <c r="P752" s="1"/>
  <c r="Q752" s="1"/>
  <c r="J118"/>
  <c r="L623"/>
  <c r="M623" s="1"/>
  <c r="J711"/>
  <c r="G2" i="1"/>
  <c r="I2" s="1"/>
  <c r="E8"/>
  <c r="E80"/>
  <c r="E87"/>
  <c r="C96"/>
  <c r="K66"/>
  <c r="L66" s="1"/>
  <c r="L80" s="1"/>
  <c r="J60" i="3"/>
  <c r="F13" i="2"/>
  <c r="E10" i="1"/>
  <c r="G58"/>
  <c r="I58" s="1"/>
  <c r="K58" s="1"/>
  <c r="M58" s="1"/>
  <c r="O58" s="1"/>
  <c r="P58" s="1"/>
  <c r="R58" s="1"/>
  <c r="T58" s="1"/>
  <c r="V58" s="1"/>
  <c r="G94"/>
  <c r="D65"/>
  <c r="D96" s="1"/>
  <c r="E93"/>
  <c r="E95"/>
  <c r="O3"/>
  <c r="P3" s="1"/>
  <c r="G10"/>
  <c r="I9"/>
  <c r="O91"/>
  <c r="P91" s="1"/>
  <c r="R91" s="1"/>
  <c r="T91" s="1"/>
  <c r="U91" s="1"/>
  <c r="U93" s="1"/>
  <c r="O61"/>
  <c r="P61" s="1"/>
  <c r="R61" s="1"/>
  <c r="T61" s="1"/>
  <c r="V61" s="1"/>
  <c r="G15"/>
  <c r="E65"/>
  <c r="O43"/>
  <c r="P43" s="1"/>
  <c r="R43" s="1"/>
  <c r="O83"/>
  <c r="P83" s="1"/>
  <c r="R83" s="1"/>
  <c r="M11"/>
  <c r="O11" s="1"/>
  <c r="P11" s="1"/>
  <c r="J2"/>
  <c r="G87"/>
  <c r="I81"/>
  <c r="I73"/>
  <c r="K73" s="1"/>
  <c r="M73" s="1"/>
  <c r="G80"/>
  <c r="G90"/>
  <c r="F93"/>
  <c r="F96" s="1"/>
  <c r="O89"/>
  <c r="P89" s="1"/>
  <c r="R89" s="1"/>
  <c r="T89" s="1"/>
  <c r="J56"/>
  <c r="J65" s="1"/>
  <c r="O47"/>
  <c r="P47" s="1"/>
  <c r="R47" s="1"/>
  <c r="T47" s="1"/>
  <c r="V47" s="1"/>
  <c r="O33"/>
  <c r="P33" s="1"/>
  <c r="R33" s="1"/>
  <c r="T33" s="1"/>
  <c r="V33" s="1"/>
  <c r="O31"/>
  <c r="P31" s="1"/>
  <c r="R31" s="1"/>
  <c r="T31" s="1"/>
  <c r="V31" s="1"/>
  <c r="O27"/>
  <c r="P27" s="1"/>
  <c r="R27" s="1"/>
  <c r="T27" s="1"/>
  <c r="V27" s="1"/>
  <c r="O17"/>
  <c r="P17" s="1"/>
  <c r="K14"/>
  <c r="M14" s="1"/>
  <c r="O14" s="1"/>
  <c r="P14" s="1"/>
  <c r="I7"/>
  <c r="G8"/>
  <c r="H80"/>
  <c r="G92"/>
  <c r="P13"/>
  <c r="R13" s="1"/>
  <c r="T13" s="1"/>
  <c r="P23"/>
  <c r="R23" s="1"/>
  <c r="T23" s="1"/>
  <c r="P35"/>
  <c r="P51"/>
  <c r="R51" s="1"/>
  <c r="T51" s="1"/>
  <c r="V51" s="1"/>
  <c r="P57"/>
  <c r="R57" s="1"/>
  <c r="T57" s="1"/>
  <c r="V57" s="1"/>
  <c r="P64"/>
  <c r="R64" s="1"/>
  <c r="P71"/>
  <c r="Q71" s="1"/>
  <c r="R71" s="1"/>
  <c r="P74"/>
  <c r="P78"/>
  <c r="R78" s="1"/>
  <c r="T78" s="1"/>
  <c r="V78" s="1"/>
  <c r="P86"/>
  <c r="R86" s="1"/>
  <c r="T86" s="1"/>
  <c r="V86" s="1"/>
  <c r="O5"/>
  <c r="P5" s="1"/>
  <c r="O75"/>
  <c r="P75" s="1"/>
  <c r="R75" s="1"/>
  <c r="O79"/>
  <c r="P79" s="1"/>
  <c r="R79" s="1"/>
  <c r="T79" s="1"/>
  <c r="V79" s="1"/>
  <c r="O82"/>
  <c r="P82" s="1"/>
  <c r="R82" s="1"/>
  <c r="T82" s="1"/>
  <c r="V82" s="1"/>
  <c r="O84"/>
  <c r="P84" s="1"/>
  <c r="P39"/>
  <c r="R39" s="1"/>
  <c r="P55"/>
  <c r="R55" s="1"/>
  <c r="P59"/>
  <c r="R59" s="1"/>
  <c r="T59" s="1"/>
  <c r="V59" s="1"/>
  <c r="P63"/>
  <c r="R63" s="1"/>
  <c r="T63" s="1"/>
  <c r="V63" s="1"/>
  <c r="W478" i="3"/>
  <c r="W504"/>
  <c r="J418"/>
  <c r="W387"/>
  <c r="W442"/>
  <c r="W419"/>
  <c r="W347"/>
  <c r="W305"/>
  <c r="L725"/>
  <c r="N725" s="1"/>
  <c r="Q725" s="1"/>
  <c r="T725" s="1"/>
  <c r="U725" s="1"/>
  <c r="V725" s="1"/>
  <c r="W725" s="1"/>
  <c r="J321"/>
  <c r="J573"/>
  <c r="J388"/>
  <c r="Q681"/>
  <c r="S681" s="1"/>
  <c r="T681" s="1"/>
  <c r="V681" s="1"/>
  <c r="W681" s="1"/>
  <c r="J558"/>
  <c r="Q264"/>
  <c r="S264" s="1"/>
  <c r="T264" s="1"/>
  <c r="V264" s="1"/>
  <c r="W264" s="1"/>
  <c r="W237"/>
  <c r="L830"/>
  <c r="N830" s="1"/>
  <c r="P830" s="1"/>
  <c r="L758"/>
  <c r="M758" s="1"/>
  <c r="N758" s="1"/>
  <c r="P758" s="1"/>
  <c r="Q758" s="1"/>
  <c r="L231"/>
  <c r="M231" s="1"/>
  <c r="N231" s="1"/>
  <c r="P231" s="1"/>
  <c r="J766"/>
  <c r="J686"/>
  <c r="J619"/>
  <c r="J472"/>
  <c r="L411"/>
  <c r="N411" s="1"/>
  <c r="P411" s="1"/>
  <c r="L54"/>
  <c r="N54" s="1"/>
  <c r="Q54" s="1"/>
  <c r="T54" s="1"/>
  <c r="U54" s="1"/>
  <c r="V54" s="1"/>
  <c r="W54" s="1"/>
  <c r="L158"/>
  <c r="N158" s="1"/>
  <c r="Q158" s="1"/>
  <c r="T158" s="1"/>
  <c r="U158" s="1"/>
  <c r="V158" s="1"/>
  <c r="W158" s="1"/>
  <c r="Q742"/>
  <c r="S742" s="1"/>
  <c r="T742" s="1"/>
  <c r="V742" s="1"/>
  <c r="W742" s="1"/>
  <c r="Q609"/>
  <c r="S609" s="1"/>
  <c r="T609" s="1"/>
  <c r="V609" s="1"/>
  <c r="W609" s="1"/>
  <c r="J3"/>
  <c r="N882"/>
  <c r="P882" s="1"/>
  <c r="Q882" s="1"/>
  <c r="S882" s="1"/>
  <c r="T882" s="1"/>
  <c r="N555"/>
  <c r="P555" s="1"/>
  <c r="Q555" s="1"/>
  <c r="S555" s="1"/>
  <c r="T555" s="1"/>
  <c r="J516"/>
  <c r="J370"/>
  <c r="J101"/>
  <c r="V171"/>
  <c r="W171" s="1"/>
  <c r="J36"/>
  <c r="J462"/>
  <c r="J874"/>
  <c r="J236"/>
  <c r="J768"/>
  <c r="J479"/>
  <c r="J870"/>
  <c r="J188"/>
  <c r="J116"/>
  <c r="W154"/>
  <c r="L640"/>
  <c r="N640" s="1"/>
  <c r="Q640" s="1"/>
  <c r="T640" s="1"/>
  <c r="U640" s="1"/>
  <c r="V640" s="1"/>
  <c r="W640" s="1"/>
  <c r="J878"/>
  <c r="J860"/>
  <c r="J554"/>
  <c r="L403"/>
  <c r="N403" s="1"/>
  <c r="Q403" s="1"/>
  <c r="T403" s="1"/>
  <c r="U403" s="1"/>
  <c r="V403" s="1"/>
  <c r="W403" s="1"/>
  <c r="J488"/>
  <c r="L590"/>
  <c r="M590" s="1"/>
  <c r="N590" s="1"/>
  <c r="Q590" s="1"/>
  <c r="T590" s="1"/>
  <c r="V590" s="1"/>
  <c r="W590" s="1"/>
  <c r="J727"/>
  <c r="J249"/>
  <c r="Q799"/>
  <c r="S799" s="1"/>
  <c r="T799" s="1"/>
  <c r="V799" s="1"/>
  <c r="W799" s="1"/>
  <c r="J247"/>
  <c r="T741"/>
  <c r="V741" s="1"/>
  <c r="J586"/>
  <c r="J831"/>
  <c r="J603"/>
  <c r="T490"/>
  <c r="U490" s="1"/>
  <c r="V490" s="1"/>
  <c r="W490" s="1"/>
  <c r="Q103"/>
  <c r="S103" s="1"/>
  <c r="L828"/>
  <c r="N828" s="1"/>
  <c r="P828" s="1"/>
  <c r="L760"/>
  <c r="N760" s="1"/>
  <c r="P760" s="1"/>
  <c r="L753"/>
  <c r="N753" s="1"/>
  <c r="P753" s="1"/>
  <c r="L501"/>
  <c r="M501" s="1"/>
  <c r="N501" s="1"/>
  <c r="P501" s="1"/>
  <c r="J232"/>
  <c r="L227"/>
  <c r="M227" s="1"/>
  <c r="J114"/>
  <c r="J120"/>
  <c r="J58"/>
  <c r="L621"/>
  <c r="M621" s="1"/>
  <c r="N621" s="1"/>
  <c r="P621" s="1"/>
  <c r="Q621" s="1"/>
  <c r="S621" s="1"/>
  <c r="T621" s="1"/>
  <c r="V621" s="1"/>
  <c r="W621" s="1"/>
  <c r="J477"/>
  <c r="L415"/>
  <c r="M415" s="1"/>
  <c r="N415" s="1"/>
  <c r="P415" s="1"/>
  <c r="Q415" s="1"/>
  <c r="S415" s="1"/>
  <c r="L383"/>
  <c r="M383" s="1"/>
  <c r="N383" s="1"/>
  <c r="P383" s="1"/>
  <c r="Q383" s="1"/>
  <c r="S383" s="1"/>
  <c r="T383" s="1"/>
  <c r="V383" s="1"/>
  <c r="W383" s="1"/>
  <c r="J787"/>
  <c r="Q841"/>
  <c r="Q525"/>
  <c r="S525" s="1"/>
  <c r="T525" s="1"/>
  <c r="V525" s="1"/>
  <c r="W525" s="1"/>
  <c r="J163"/>
  <c r="J47"/>
  <c r="J782"/>
  <c r="J881"/>
  <c r="J518"/>
  <c r="J483"/>
  <c r="J97"/>
  <c r="J41"/>
  <c r="U858"/>
  <c r="U84"/>
  <c r="L689"/>
  <c r="M689" s="1"/>
  <c r="N689" s="1"/>
  <c r="P689" s="1"/>
  <c r="Q689" s="1"/>
  <c r="S689" s="1"/>
  <c r="T689" s="1"/>
  <c r="J583"/>
  <c r="Q164"/>
  <c r="S164" s="1"/>
  <c r="T506"/>
  <c r="V506" s="1"/>
  <c r="W506" s="1"/>
  <c r="T457"/>
  <c r="V457" s="1"/>
  <c r="W457" s="1"/>
  <c r="L435"/>
  <c r="M435" s="1"/>
  <c r="L414"/>
  <c r="M414" s="1"/>
  <c r="N414" s="1"/>
  <c r="P414" s="1"/>
  <c r="J106"/>
  <c r="L12"/>
  <c r="M12" s="1"/>
  <c r="N12" s="1"/>
  <c r="P12" s="1"/>
  <c r="Q12" s="1"/>
  <c r="S12" s="1"/>
  <c r="T12" s="1"/>
  <c r="J391"/>
  <c r="J420"/>
  <c r="J880"/>
  <c r="J876"/>
  <c r="J862"/>
  <c r="M858"/>
  <c r="L829"/>
  <c r="N829" s="1"/>
  <c r="P829" s="1"/>
  <c r="L712"/>
  <c r="M712" s="1"/>
  <c r="N712" s="1"/>
  <c r="P712" s="1"/>
  <c r="L626"/>
  <c r="J560"/>
  <c r="J556"/>
  <c r="L503"/>
  <c r="N503" s="1"/>
  <c r="P503" s="1"/>
  <c r="Q503" s="1"/>
  <c r="S503" s="1"/>
  <c r="T503" s="1"/>
  <c r="U503" s="1"/>
  <c r="J48"/>
  <c r="L115"/>
  <c r="N115" s="1"/>
  <c r="Q115" s="1"/>
  <c r="T115" s="1"/>
  <c r="U115" s="1"/>
  <c r="V115" s="1"/>
  <c r="W115" s="1"/>
  <c r="J31"/>
  <c r="J179"/>
  <c r="J894"/>
  <c r="J426"/>
  <c r="Q820"/>
  <c r="S820" s="1"/>
  <c r="T820" s="1"/>
  <c r="V820" s="1"/>
  <c r="W820" s="1"/>
  <c r="J157"/>
  <c r="J651"/>
  <c r="J778"/>
  <c r="J20"/>
  <c r="J173"/>
  <c r="J702"/>
  <c r="J767"/>
  <c r="J756"/>
  <c r="J699"/>
  <c r="J624"/>
  <c r="J469"/>
  <c r="J404"/>
  <c r="J722"/>
  <c r="U636"/>
  <c r="V636" s="1"/>
  <c r="W636" s="1"/>
  <c r="V644"/>
  <c r="W644" s="1"/>
  <c r="L599"/>
  <c r="N599" s="1"/>
  <c r="Q599" s="1"/>
  <c r="T599" s="1"/>
  <c r="V599" s="1"/>
  <c r="T497"/>
  <c r="V497" s="1"/>
  <c r="Q563"/>
  <c r="S563" s="1"/>
  <c r="J566"/>
  <c r="J510"/>
  <c r="U612"/>
  <c r="U618" s="1"/>
  <c r="S336"/>
  <c r="T336" s="1"/>
  <c r="V580"/>
  <c r="W580" s="1"/>
  <c r="Q739"/>
  <c r="S739" s="1"/>
  <c r="T739" s="1"/>
  <c r="L437"/>
  <c r="N437" s="1"/>
  <c r="P437" s="1"/>
  <c r="L432"/>
  <c r="N432" s="1"/>
  <c r="P432" s="1"/>
  <c r="Q432" s="1"/>
  <c r="S432" s="1"/>
  <c r="T432" s="1"/>
  <c r="L416"/>
  <c r="M416" s="1"/>
  <c r="L384"/>
  <c r="M384" s="1"/>
  <c r="N384" s="1"/>
  <c r="P384" s="1"/>
  <c r="Q384" s="1"/>
  <c r="S384" s="1"/>
  <c r="L377"/>
  <c r="M377" s="1"/>
  <c r="N377" s="1"/>
  <c r="P377" s="1"/>
  <c r="J40"/>
  <c r="J16"/>
  <c r="L8"/>
  <c r="M8" s="1"/>
  <c r="L330"/>
  <c r="M330" s="1"/>
  <c r="M332" s="1"/>
  <c r="L399"/>
  <c r="N399" s="1"/>
  <c r="Q399" s="1"/>
  <c r="T399" s="1"/>
  <c r="U399" s="1"/>
  <c r="V399" s="1"/>
  <c r="W399" s="1"/>
  <c r="J456"/>
  <c r="L228"/>
  <c r="M228" s="1"/>
  <c r="N228" s="1"/>
  <c r="P228" s="1"/>
  <c r="Q228" s="1"/>
  <c r="L217"/>
  <c r="N217" s="1"/>
  <c r="Q217" s="1"/>
  <c r="T217" s="1"/>
  <c r="V217" s="1"/>
  <c r="W217" s="1"/>
  <c r="L694"/>
  <c r="N694" s="1"/>
  <c r="Q694" s="1"/>
  <c r="T694" s="1"/>
  <c r="N589"/>
  <c r="Q589" s="1"/>
  <c r="T589" s="1"/>
  <c r="U589" s="1"/>
  <c r="V589" s="1"/>
  <c r="W589" s="1"/>
  <c r="Q803"/>
  <c r="S803" s="1"/>
  <c r="T803" s="1"/>
  <c r="V803" s="1"/>
  <c r="W803" s="1"/>
  <c r="M319"/>
  <c r="J633"/>
  <c r="J798"/>
  <c r="J90"/>
  <c r="J121"/>
  <c r="J320"/>
  <c r="Q343"/>
  <c r="S343" s="1"/>
  <c r="T343" s="1"/>
  <c r="J774"/>
  <c r="J764"/>
  <c r="J762"/>
  <c r="J687"/>
  <c r="J645"/>
  <c r="J620"/>
  <c r="J563"/>
  <c r="J513"/>
  <c r="J506"/>
  <c r="J500"/>
  <c r="J475"/>
  <c r="J226"/>
  <c r="J138"/>
  <c r="J52"/>
  <c r="J28"/>
  <c r="U509"/>
  <c r="V509" s="1"/>
  <c r="W509" s="1"/>
  <c r="V532"/>
  <c r="W532" s="1"/>
  <c r="V528"/>
  <c r="W528" s="1"/>
  <c r="H538"/>
  <c r="S785"/>
  <c r="T785" s="1"/>
  <c r="V785" s="1"/>
  <c r="W785" s="1"/>
  <c r="U357"/>
  <c r="V357" s="1"/>
  <c r="W357" s="1"/>
  <c r="U361"/>
  <c r="V361" s="1"/>
  <c r="W361" s="1"/>
  <c r="U423"/>
  <c r="V423" s="1"/>
  <c r="W423" s="1"/>
  <c r="F319"/>
  <c r="N367"/>
  <c r="T352"/>
  <c r="U352" s="1"/>
  <c r="J396"/>
  <c r="J385"/>
  <c r="H375"/>
  <c r="V396"/>
  <c r="W396" s="1"/>
  <c r="U287"/>
  <c r="V287" s="1"/>
  <c r="W287" s="1"/>
  <c r="Q846"/>
  <c r="S846" s="1"/>
  <c r="Q845"/>
  <c r="S845" s="1"/>
  <c r="T845" s="1"/>
  <c r="V845" s="1"/>
  <c r="W845" s="1"/>
  <c r="T32"/>
  <c r="V32" s="1"/>
  <c r="J499"/>
  <c r="J507"/>
  <c r="L150"/>
  <c r="N150" s="1"/>
  <c r="P150" s="1"/>
  <c r="J42"/>
  <c r="L14"/>
  <c r="M14" s="1"/>
  <c r="L10"/>
  <c r="M10" s="1"/>
  <c r="L6"/>
  <c r="N6" s="1"/>
  <c r="J372"/>
  <c r="J389"/>
  <c r="L779"/>
  <c r="M779" s="1"/>
  <c r="N779" s="1"/>
  <c r="Q779" s="1"/>
  <c r="T779" s="1"/>
  <c r="V779" s="1"/>
  <c r="W779" s="1"/>
  <c r="H657"/>
  <c r="H669" s="1"/>
  <c r="J515"/>
  <c r="J230"/>
  <c r="L117"/>
  <c r="N117" s="1"/>
  <c r="Q117" s="1"/>
  <c r="T117" s="1"/>
  <c r="U117" s="1"/>
  <c r="V117" s="1"/>
  <c r="W117" s="1"/>
  <c r="J581"/>
  <c r="L585"/>
  <c r="N585" s="1"/>
  <c r="Q585" s="1"/>
  <c r="T585" s="1"/>
  <c r="U585" s="1"/>
  <c r="V585" s="1"/>
  <c r="W585" s="1"/>
  <c r="L422"/>
  <c r="N422" s="1"/>
  <c r="Q422" s="1"/>
  <c r="T422" s="1"/>
  <c r="V422" s="1"/>
  <c r="W422" s="1"/>
  <c r="N471"/>
  <c r="P471" s="1"/>
  <c r="Q471" s="1"/>
  <c r="S471" s="1"/>
  <c r="T471" s="1"/>
  <c r="V471" s="1"/>
  <c r="W471" s="1"/>
  <c r="H858"/>
  <c r="Q740"/>
  <c r="S740" s="1"/>
  <c r="T740" s="1"/>
  <c r="V740" s="1"/>
  <c r="W740" s="1"/>
  <c r="T800"/>
  <c r="V800" s="1"/>
  <c r="W800" s="1"/>
  <c r="J27"/>
  <c r="J91"/>
  <c r="J251"/>
  <c r="H137"/>
  <c r="J89"/>
  <c r="J86"/>
  <c r="J207"/>
  <c r="J574"/>
  <c r="J598"/>
  <c r="J180"/>
  <c r="Q340"/>
  <c r="S340" s="1"/>
  <c r="T340" s="1"/>
  <c r="V340" s="1"/>
  <c r="J446"/>
  <c r="J580"/>
  <c r="J655"/>
  <c r="J714"/>
  <c r="E319"/>
  <c r="Q523"/>
  <c r="S523" s="1"/>
  <c r="T523" s="1"/>
  <c r="V523" s="1"/>
  <c r="J882"/>
  <c r="J863"/>
  <c r="J792"/>
  <c r="J648"/>
  <c r="J636"/>
  <c r="J555"/>
  <c r="J514"/>
  <c r="J505"/>
  <c r="J471"/>
  <c r="J441"/>
  <c r="J395"/>
  <c r="J386"/>
  <c r="J381"/>
  <c r="J202"/>
  <c r="J119"/>
  <c r="V256"/>
  <c r="U897"/>
  <c r="U283"/>
  <c r="J704"/>
  <c r="J695"/>
  <c r="U309"/>
  <c r="U313"/>
  <c r="V313" s="1"/>
  <c r="W313" s="1"/>
  <c r="V249"/>
  <c r="W249" s="1"/>
  <c r="W241"/>
  <c r="V179"/>
  <c r="W179" s="1"/>
  <c r="V113"/>
  <c r="W113" s="1"/>
  <c r="U121"/>
  <c r="V121" s="1"/>
  <c r="W121" s="1"/>
  <c r="U60"/>
  <c r="V60" s="1"/>
  <c r="W60" s="1"/>
  <c r="U90"/>
  <c r="V90" s="1"/>
  <c r="W90" s="1"/>
  <c r="U27"/>
  <c r="V27" s="1"/>
  <c r="W27" s="1"/>
  <c r="N858"/>
  <c r="U50"/>
  <c r="V50" s="1"/>
  <c r="W50" s="1"/>
  <c r="U52"/>
  <c r="V52" s="1"/>
  <c r="W52" s="1"/>
  <c r="U55"/>
  <c r="V55" s="1"/>
  <c r="W55" s="1"/>
  <c r="O606"/>
  <c r="O618" s="1"/>
  <c r="F146"/>
  <c r="H146"/>
  <c r="F409"/>
  <c r="H224"/>
  <c r="U137"/>
  <c r="S341"/>
  <c r="T341" s="1"/>
  <c r="F553"/>
  <c r="F64"/>
  <c r="F84" s="1"/>
  <c r="Q101"/>
  <c r="S101" s="1"/>
  <c r="L242"/>
  <c r="N242" s="1"/>
  <c r="Q242" s="1"/>
  <c r="T242" s="1"/>
  <c r="U242" s="1"/>
  <c r="V242" s="1"/>
  <c r="W242" s="1"/>
  <c r="E553"/>
  <c r="H897"/>
  <c r="J474"/>
  <c r="J470"/>
  <c r="J433"/>
  <c r="L327"/>
  <c r="N327" s="1"/>
  <c r="Q327" s="1"/>
  <c r="T327" s="1"/>
  <c r="U327" s="1"/>
  <c r="J329"/>
  <c r="L447"/>
  <c r="N447" s="1"/>
  <c r="Q447" s="1"/>
  <c r="T447" s="1"/>
  <c r="U447" s="1"/>
  <c r="V447" s="1"/>
  <c r="W447" s="1"/>
  <c r="L463"/>
  <c r="N463" s="1"/>
  <c r="Q463" s="1"/>
  <c r="T463" s="1"/>
  <c r="L597"/>
  <c r="N597" s="1"/>
  <c r="Q597" s="1"/>
  <c r="T597" s="1"/>
  <c r="V597" s="1"/>
  <c r="W597" s="1"/>
  <c r="J604"/>
  <c r="J734"/>
  <c r="J250"/>
  <c r="Q298"/>
  <c r="S298" s="1"/>
  <c r="Q163"/>
  <c r="L44"/>
  <c r="N44" s="1"/>
  <c r="P44" s="1"/>
  <c r="Q44" s="1"/>
  <c r="S44" s="1"/>
  <c r="T44" s="1"/>
  <c r="V44" s="1"/>
  <c r="J551"/>
  <c r="N651"/>
  <c r="Q651" s="1"/>
  <c r="T651" s="1"/>
  <c r="J2"/>
  <c r="J50"/>
  <c r="J204"/>
  <c r="J209"/>
  <c r="J454"/>
  <c r="J628"/>
  <c r="J649"/>
  <c r="J886"/>
  <c r="J776"/>
  <c r="J177"/>
  <c r="J168"/>
  <c r="J210"/>
  <c r="Q334"/>
  <c r="S334" s="1"/>
  <c r="T334" s="1"/>
  <c r="N168"/>
  <c r="P168" s="1"/>
  <c r="Q168" s="1"/>
  <c r="S168" s="1"/>
  <c r="Q300"/>
  <c r="S300" s="1"/>
  <c r="T300" s="1"/>
  <c r="V300" s="1"/>
  <c r="T440"/>
  <c r="V440" s="1"/>
  <c r="J113"/>
  <c r="J181"/>
  <c r="J784"/>
  <c r="P261"/>
  <c r="Q261" s="1"/>
  <c r="J866"/>
  <c r="J865"/>
  <c r="J786"/>
  <c r="J641"/>
  <c r="J577"/>
  <c r="J190"/>
  <c r="J103"/>
  <c r="J99"/>
  <c r="J55"/>
  <c r="J38"/>
  <c r="J21"/>
  <c r="J15"/>
  <c r="J312"/>
  <c r="J319" s="1"/>
  <c r="H839"/>
  <c r="H5"/>
  <c r="J369"/>
  <c r="V180"/>
  <c r="W180" s="1"/>
  <c r="V603"/>
  <c r="W603" s="1"/>
  <c r="V601"/>
  <c r="V583"/>
  <c r="W583" s="1"/>
  <c r="V578"/>
  <c r="W578" s="1"/>
  <c r="V446"/>
  <c r="W446" s="1"/>
  <c r="V389"/>
  <c r="W389" s="1"/>
  <c r="V320"/>
  <c r="V120"/>
  <c r="W120" s="1"/>
  <c r="V118"/>
  <c r="W118" s="1"/>
  <c r="V114"/>
  <c r="W114" s="1"/>
  <c r="P236"/>
  <c r="Q236" s="1"/>
  <c r="S236" s="1"/>
  <c r="T236" s="1"/>
  <c r="V258"/>
  <c r="W258" s="1"/>
  <c r="V391"/>
  <c r="W391" s="1"/>
  <c r="V854"/>
  <c r="W854" s="1"/>
  <c r="V638"/>
  <c r="W638" s="1"/>
  <c r="V604"/>
  <c r="W604" s="1"/>
  <c r="V584"/>
  <c r="W584" s="1"/>
  <c r="V579"/>
  <c r="W579" s="1"/>
  <c r="V577"/>
  <c r="W577" s="1"/>
  <c r="V573"/>
  <c r="W573" s="1"/>
  <c r="V374"/>
  <c r="W374" s="1"/>
  <c r="V329"/>
  <c r="W329" s="1"/>
  <c r="M229"/>
  <c r="N229" s="1"/>
  <c r="P229" s="1"/>
  <c r="Q229" s="1"/>
  <c r="S229" s="1"/>
  <c r="T229" s="1"/>
  <c r="V259"/>
  <c r="W259" s="1"/>
  <c r="V892"/>
  <c r="W892" s="1"/>
  <c r="V852"/>
  <c r="W852" s="1"/>
  <c r="V848"/>
  <c r="W848" s="1"/>
  <c r="V174"/>
  <c r="W174" s="1"/>
  <c r="V814"/>
  <c r="W814" s="1"/>
  <c r="V812"/>
  <c r="W812" s="1"/>
  <c r="V807"/>
  <c r="W807" s="1"/>
  <c r="V771"/>
  <c r="W771" s="1"/>
  <c r="V749"/>
  <c r="W749" s="1"/>
  <c r="V745"/>
  <c r="W745" s="1"/>
  <c r="V727"/>
  <c r="W727" s="1"/>
  <c r="V633"/>
  <c r="W633" s="1"/>
  <c r="V628"/>
  <c r="W628" s="1"/>
  <c r="V598"/>
  <c r="W598" s="1"/>
  <c r="V397"/>
  <c r="W397" s="1"/>
  <c r="V395"/>
  <c r="W395" s="1"/>
  <c r="V393"/>
  <c r="W393" s="1"/>
  <c r="V312"/>
  <c r="W312" s="1"/>
  <c r="V310"/>
  <c r="W310" s="1"/>
  <c r="V306"/>
  <c r="V291"/>
  <c r="W291" s="1"/>
  <c r="V289"/>
  <c r="W289" s="1"/>
  <c r="V288"/>
  <c r="W288" s="1"/>
  <c r="V286"/>
  <c r="W286" s="1"/>
  <c r="V284"/>
  <c r="W284" s="1"/>
  <c r="V282"/>
  <c r="W282" s="1"/>
  <c r="V870"/>
  <c r="W870" s="1"/>
  <c r="V867"/>
  <c r="W867" s="1"/>
  <c r="V889"/>
  <c r="W889" s="1"/>
  <c r="V165"/>
  <c r="W165" s="1"/>
  <c r="V534"/>
  <c r="W534" s="1"/>
  <c r="V531"/>
  <c r="W531" s="1"/>
  <c r="W529"/>
  <c r="V518"/>
  <c r="W518" s="1"/>
  <c r="V513"/>
  <c r="W513" s="1"/>
  <c r="V308"/>
  <c r="W308" s="1"/>
  <c r="V434"/>
  <c r="W434" s="1"/>
  <c r="V522"/>
  <c r="W522" s="1"/>
  <c r="V872"/>
  <c r="W872" s="1"/>
  <c r="V885"/>
  <c r="W885" s="1"/>
  <c r="V30"/>
  <c r="W30" s="1"/>
  <c r="V67"/>
  <c r="W67" s="1"/>
  <c r="V69"/>
  <c r="W69" s="1"/>
  <c r="V71"/>
  <c r="W71" s="1"/>
  <c r="V79"/>
  <c r="W79" s="1"/>
  <c r="V85"/>
  <c r="W85" s="1"/>
  <c r="V203"/>
  <c r="W203" s="1"/>
  <c r="V208"/>
  <c r="W208" s="1"/>
  <c r="V212"/>
  <c r="W212" s="1"/>
  <c r="V274"/>
  <c r="W274" s="1"/>
  <c r="V279"/>
  <c r="W279" s="1"/>
  <c r="V325"/>
  <c r="W325" s="1"/>
  <c r="V348"/>
  <c r="W348" s="1"/>
  <c r="V404"/>
  <c r="W404" s="1"/>
  <c r="V505"/>
  <c r="W505" s="1"/>
  <c r="V514"/>
  <c r="W514" s="1"/>
  <c r="V648"/>
  <c r="W648" s="1"/>
  <c r="V786"/>
  <c r="W786" s="1"/>
  <c r="V539"/>
  <c r="W539" s="1"/>
  <c r="V792"/>
  <c r="W792" s="1"/>
  <c r="V460"/>
  <c r="W460" s="1"/>
  <c r="V843"/>
  <c r="W843" s="1"/>
  <c r="V456"/>
  <c r="W456" s="1"/>
  <c r="V831"/>
  <c r="W831" s="1"/>
  <c r="V743"/>
  <c r="W743" s="1"/>
  <c r="V157"/>
  <c r="W157" s="1"/>
  <c r="V849"/>
  <c r="W849" s="1"/>
  <c r="V866"/>
  <c r="W866" s="1"/>
  <c r="V764"/>
  <c r="W764" s="1"/>
  <c r="V894"/>
  <c r="W894" s="1"/>
  <c r="V855"/>
  <c r="W855" s="1"/>
  <c r="V850"/>
  <c r="W850" s="1"/>
  <c r="V250"/>
  <c r="W250" s="1"/>
  <c r="V178"/>
  <c r="W178" s="1"/>
  <c r="V824"/>
  <c r="W824" s="1"/>
  <c r="V809"/>
  <c r="W809" s="1"/>
  <c r="V782"/>
  <c r="W782" s="1"/>
  <c r="V747"/>
  <c r="W747" s="1"/>
  <c r="V731"/>
  <c r="W731" s="1"/>
  <c r="V655"/>
  <c r="W655" s="1"/>
  <c r="V631"/>
  <c r="W631" s="1"/>
  <c r="V571"/>
  <c r="W571" s="1"/>
  <c r="V488"/>
  <c r="W488" s="1"/>
  <c r="V465"/>
  <c r="W465" s="1"/>
  <c r="V458"/>
  <c r="W458" s="1"/>
  <c r="V863"/>
  <c r="W863" s="1"/>
  <c r="V844"/>
  <c r="W844" s="1"/>
  <c r="V787"/>
  <c r="W787" s="1"/>
  <c r="V516"/>
  <c r="W516" s="1"/>
  <c r="V886"/>
  <c r="W886" s="1"/>
  <c r="V853"/>
  <c r="W853" s="1"/>
  <c r="V851"/>
  <c r="W851" s="1"/>
  <c r="V426"/>
  <c r="W426" s="1"/>
  <c r="V420"/>
  <c r="W420" s="1"/>
  <c r="V364"/>
  <c r="W364" s="1"/>
  <c r="V362"/>
  <c r="W362" s="1"/>
  <c r="V360"/>
  <c r="W360" s="1"/>
  <c r="V358"/>
  <c r="W358" s="1"/>
  <c r="V356"/>
  <c r="W356" s="1"/>
  <c r="V353"/>
  <c r="W353" s="1"/>
  <c r="V351"/>
  <c r="W351" s="1"/>
  <c r="V349"/>
  <c r="W349" s="1"/>
  <c r="V704"/>
  <c r="W704" s="1"/>
  <c r="V702"/>
  <c r="W702" s="1"/>
  <c r="V699"/>
  <c r="W699" s="1"/>
  <c r="V695"/>
  <c r="W695" s="1"/>
  <c r="V825"/>
  <c r="W825" s="1"/>
  <c r="V813"/>
  <c r="W813" s="1"/>
  <c r="V811"/>
  <c r="W811" s="1"/>
  <c r="V808"/>
  <c r="W808" s="1"/>
  <c r="V806"/>
  <c r="W806" s="1"/>
  <c r="V784"/>
  <c r="W784" s="1"/>
  <c r="Y784" s="1"/>
  <c r="V778"/>
  <c r="W778" s="1"/>
  <c r="V776"/>
  <c r="W776" s="1"/>
  <c r="V774"/>
  <c r="W774" s="1"/>
  <c r="V768"/>
  <c r="W768" s="1"/>
  <c r="V748"/>
  <c r="W748" s="1"/>
  <c r="V746"/>
  <c r="W746" s="1"/>
  <c r="V738"/>
  <c r="W738" s="1"/>
  <c r="V734"/>
  <c r="W734" s="1"/>
  <c r="V653"/>
  <c r="W653" s="1"/>
  <c r="V645"/>
  <c r="W645" s="1"/>
  <c r="V613"/>
  <c r="W613" s="1"/>
  <c r="V581"/>
  <c r="W581" s="1"/>
  <c r="V483"/>
  <c r="W483" s="1"/>
  <c r="V479"/>
  <c r="W479" s="1"/>
  <c r="V454"/>
  <c r="W454" s="1"/>
  <c r="V316"/>
  <c r="W316" s="1"/>
  <c r="V314"/>
  <c r="W314" s="1"/>
  <c r="V280"/>
  <c r="W280" s="1"/>
  <c r="V277"/>
  <c r="W277" s="1"/>
  <c r="V275"/>
  <c r="W275" s="1"/>
  <c r="V273"/>
  <c r="W273" s="1"/>
  <c r="V271"/>
  <c r="W271" s="1"/>
  <c r="V209"/>
  <c r="W209" s="1"/>
  <c r="V207"/>
  <c r="W207" s="1"/>
  <c r="V204"/>
  <c r="W204" s="1"/>
  <c r="W202"/>
  <c r="V370"/>
  <c r="W370" s="1"/>
  <c r="V865"/>
  <c r="W865" s="1"/>
  <c r="V417"/>
  <c r="W417" s="1"/>
  <c r="V510"/>
  <c r="W510" s="1"/>
  <c r="V888"/>
  <c r="W888" s="1"/>
  <c r="V184"/>
  <c r="W184" s="1"/>
  <c r="W412"/>
  <c r="W97"/>
  <c r="W596"/>
  <c r="F538"/>
  <c r="W365"/>
  <c r="W733"/>
  <c r="W654"/>
  <c r="M224"/>
  <c r="P333"/>
  <c r="Q333" s="1"/>
  <c r="S333" s="1"/>
  <c r="T333" s="1"/>
  <c r="J147"/>
  <c r="L375"/>
  <c r="E133"/>
  <c r="L56"/>
  <c r="N56" s="1"/>
  <c r="Q56" s="1"/>
  <c r="T56" s="1"/>
  <c r="L205"/>
  <c r="N205" s="1"/>
  <c r="Q205" s="1"/>
  <c r="T205" s="1"/>
  <c r="U205" s="1"/>
  <c r="J465"/>
  <c r="J785"/>
  <c r="L160"/>
  <c r="N160" s="1"/>
  <c r="Q160" s="1"/>
  <c r="T160" s="1"/>
  <c r="U160" s="1"/>
  <c r="F139"/>
  <c r="F144" s="1"/>
  <c r="Q265"/>
  <c r="S265" s="1"/>
  <c r="T265" s="1"/>
  <c r="J174"/>
  <c r="J423"/>
  <c r="Q139"/>
  <c r="T139" s="1"/>
  <c r="J325"/>
  <c r="J374"/>
  <c r="J425"/>
  <c r="J493"/>
  <c r="J578"/>
  <c r="J596"/>
  <c r="J601"/>
  <c r="J631"/>
  <c r="J638"/>
  <c r="H182"/>
  <c r="J30"/>
  <c r="J51"/>
  <c r="J203"/>
  <c r="J867"/>
  <c r="J877"/>
  <c r="J682"/>
  <c r="J680"/>
  <c r="J646"/>
  <c r="J644"/>
  <c r="J639"/>
  <c r="J589"/>
  <c r="J579"/>
  <c r="J571"/>
  <c r="J559"/>
  <c r="J458"/>
  <c r="J444"/>
  <c r="J438"/>
  <c r="J413"/>
  <c r="J406"/>
  <c r="J397"/>
  <c r="J393"/>
  <c r="J229"/>
  <c r="J185"/>
  <c r="J178"/>
  <c r="J164"/>
  <c r="J7"/>
  <c r="J733"/>
  <c r="T641"/>
  <c r="U641" s="1"/>
  <c r="W290"/>
  <c r="W119"/>
  <c r="M367"/>
  <c r="W81"/>
  <c r="V21"/>
  <c r="W21" s="1"/>
  <c r="V28"/>
  <c r="W28" s="1"/>
  <c r="V31"/>
  <c r="W31" s="1"/>
  <c r="V33"/>
  <c r="W33" s="1"/>
  <c r="Y33" s="1"/>
  <c r="V38"/>
  <c r="W38" s="1"/>
  <c r="V43"/>
  <c r="W43" s="1"/>
  <c r="V47"/>
  <c r="W47" s="1"/>
  <c r="V51"/>
  <c r="W51" s="1"/>
  <c r="V57"/>
  <c r="W57" s="1"/>
  <c r="V66"/>
  <c r="V68"/>
  <c r="W68" s="1"/>
  <c r="V70"/>
  <c r="W70" s="1"/>
  <c r="V77"/>
  <c r="W77" s="1"/>
  <c r="V80"/>
  <c r="W80" s="1"/>
  <c r="V82"/>
  <c r="W82" s="1"/>
  <c r="V86"/>
  <c r="W86" s="1"/>
  <c r="V89"/>
  <c r="W89" s="1"/>
  <c r="V91"/>
  <c r="W91" s="1"/>
  <c r="V116"/>
  <c r="W116" s="1"/>
  <c r="V155"/>
  <c r="W155" s="1"/>
  <c r="V173"/>
  <c r="W173" s="1"/>
  <c r="V177"/>
  <c r="W177" s="1"/>
  <c r="V181"/>
  <c r="W181" s="1"/>
  <c r="V210"/>
  <c r="W210" s="1"/>
  <c r="V214"/>
  <c r="W214" s="1"/>
  <c r="V247"/>
  <c r="W247" s="1"/>
  <c r="V251"/>
  <c r="W251" s="1"/>
  <c r="V272"/>
  <c r="W272" s="1"/>
  <c r="V276"/>
  <c r="W276" s="1"/>
  <c r="V281"/>
  <c r="W281" s="1"/>
  <c r="V285"/>
  <c r="W285" s="1"/>
  <c r="V292"/>
  <c r="W292" s="1"/>
  <c r="V307"/>
  <c r="W307" s="1"/>
  <c r="V311"/>
  <c r="W311" s="1"/>
  <c r="V315"/>
  <c r="W315" s="1"/>
  <c r="V338"/>
  <c r="W338" s="1"/>
  <c r="V345"/>
  <c r="W345" s="1"/>
  <c r="V350"/>
  <c r="W350" s="1"/>
  <c r="V354"/>
  <c r="W354" s="1"/>
  <c r="V359"/>
  <c r="W359" s="1"/>
  <c r="V363"/>
  <c r="W363" s="1"/>
  <c r="V406"/>
  <c r="W406" s="1"/>
  <c r="V425"/>
  <c r="W425" s="1"/>
  <c r="V444"/>
  <c r="W444" s="1"/>
  <c r="V462"/>
  <c r="W462" s="1"/>
  <c r="V493"/>
  <c r="W493" s="1"/>
  <c r="V502"/>
  <c r="W502" s="1"/>
  <c r="V507"/>
  <c r="W507" s="1"/>
  <c r="V515"/>
  <c r="W515" s="1"/>
  <c r="V530"/>
  <c r="W530" s="1"/>
  <c r="V535"/>
  <c r="W535" s="1"/>
  <c r="V574"/>
  <c r="W574" s="1"/>
  <c r="V586"/>
  <c r="W586" s="1"/>
  <c r="V615"/>
  <c r="W615" s="1"/>
  <c r="V625"/>
  <c r="W625" s="1"/>
  <c r="V639"/>
  <c r="W639" s="1"/>
  <c r="V646"/>
  <c r="W646" s="1"/>
  <c r="V714"/>
  <c r="W714" s="1"/>
  <c r="F768"/>
  <c r="F827" s="1"/>
  <c r="E827"/>
  <c r="E371"/>
  <c r="L895"/>
  <c r="N895" s="1"/>
  <c r="Q895" s="1"/>
  <c r="S895" s="1"/>
  <c r="T895" s="1"/>
  <c r="J895"/>
  <c r="L246"/>
  <c r="N246" s="1"/>
  <c r="Q246" s="1"/>
  <c r="T246" s="1"/>
  <c r="U246" s="1"/>
  <c r="J246"/>
  <c r="L244"/>
  <c r="N244" s="1"/>
  <c r="Q244" s="1"/>
  <c r="T244" s="1"/>
  <c r="U244" s="1"/>
  <c r="J244"/>
  <c r="L240"/>
  <c r="N240" s="1"/>
  <c r="Q240" s="1"/>
  <c r="T240" s="1"/>
  <c r="U240" s="1"/>
  <c r="J240"/>
  <c r="L141"/>
  <c r="J141"/>
  <c r="L92"/>
  <c r="N92" s="1"/>
  <c r="Q92" s="1"/>
  <c r="T92" s="1"/>
  <c r="U92" s="1"/>
  <c r="J92"/>
  <c r="L26"/>
  <c r="N26" s="1"/>
  <c r="Q26" s="1"/>
  <c r="T26" s="1"/>
  <c r="U26" s="1"/>
  <c r="J26"/>
  <c r="L705"/>
  <c r="N705" s="1"/>
  <c r="Q705" s="1"/>
  <c r="T705" s="1"/>
  <c r="J705"/>
  <c r="L703"/>
  <c r="N703" s="1"/>
  <c r="Q703" s="1"/>
  <c r="T703" s="1"/>
  <c r="U703" s="1"/>
  <c r="J703"/>
  <c r="L698"/>
  <c r="N698" s="1"/>
  <c r="Q698" s="1"/>
  <c r="T698" s="1"/>
  <c r="U698" s="1"/>
  <c r="J698"/>
  <c r="L788"/>
  <c r="N788" s="1"/>
  <c r="Q788" s="1"/>
  <c r="T788" s="1"/>
  <c r="U788" s="1"/>
  <c r="J788"/>
  <c r="L777"/>
  <c r="N777" s="1"/>
  <c r="Q777" s="1"/>
  <c r="T777" s="1"/>
  <c r="U777" s="1"/>
  <c r="J777"/>
  <c r="L773"/>
  <c r="N773" s="1"/>
  <c r="Q773" s="1"/>
  <c r="T773" s="1"/>
  <c r="J773"/>
  <c r="L717"/>
  <c r="N717" s="1"/>
  <c r="Q717" s="1"/>
  <c r="T717" s="1"/>
  <c r="U717" s="1"/>
  <c r="J717"/>
  <c r="L652"/>
  <c r="N652" s="1"/>
  <c r="Q652" s="1"/>
  <c r="T652" s="1"/>
  <c r="U652" s="1"/>
  <c r="J652"/>
  <c r="L491"/>
  <c r="N491" s="1"/>
  <c r="Q491" s="1"/>
  <c r="T491" s="1"/>
  <c r="U491" s="1"/>
  <c r="J491"/>
  <c r="L482"/>
  <c r="N482" s="1"/>
  <c r="Q482" s="1"/>
  <c r="T482" s="1"/>
  <c r="U482" s="1"/>
  <c r="J482"/>
  <c r="L211"/>
  <c r="N211" s="1"/>
  <c r="Q211" s="1"/>
  <c r="T211" s="1"/>
  <c r="U211" s="1"/>
  <c r="J211"/>
  <c r="L61"/>
  <c r="N61" s="1"/>
  <c r="Q61" s="1"/>
  <c r="T61" s="1"/>
  <c r="U61" s="1"/>
  <c r="J61"/>
  <c r="L11"/>
  <c r="M11" s="1"/>
  <c r="N11" s="1"/>
  <c r="P11" s="1"/>
  <c r="Q11" s="1"/>
  <c r="J11"/>
  <c r="L35"/>
  <c r="N35" s="1"/>
  <c r="P35" s="1"/>
  <c r="Q35" s="1"/>
  <c r="H64"/>
  <c r="H84" s="1"/>
  <c r="L37"/>
  <c r="M37" s="1"/>
  <c r="J37"/>
  <c r="L98"/>
  <c r="M98" s="1"/>
  <c r="J98"/>
  <c r="L100"/>
  <c r="M100" s="1"/>
  <c r="N100" s="1"/>
  <c r="P100" s="1"/>
  <c r="Q100" s="1"/>
  <c r="J100"/>
  <c r="L102"/>
  <c r="M102" s="1"/>
  <c r="N102" s="1"/>
  <c r="P102" s="1"/>
  <c r="Q102" s="1"/>
  <c r="J102"/>
  <c r="L104"/>
  <c r="M104" s="1"/>
  <c r="N104" s="1"/>
  <c r="P104" s="1"/>
  <c r="Q104" s="1"/>
  <c r="J104"/>
  <c r="L108"/>
  <c r="N108" s="1"/>
  <c r="P108" s="1"/>
  <c r="Q108" s="1"/>
  <c r="S108" s="1"/>
  <c r="T108" s="1"/>
  <c r="J108"/>
  <c r="L436"/>
  <c r="N436" s="1"/>
  <c r="P436" s="1"/>
  <c r="Q436" s="1"/>
  <c r="J436"/>
  <c r="L517"/>
  <c r="N517" s="1"/>
  <c r="Q517" s="1"/>
  <c r="T517" s="1"/>
  <c r="U517" s="1"/>
  <c r="J517"/>
  <c r="L544"/>
  <c r="N544" s="1"/>
  <c r="P544" s="1"/>
  <c r="Q544" s="1"/>
  <c r="S544" s="1"/>
  <c r="T544" s="1"/>
  <c r="J544"/>
  <c r="L557"/>
  <c r="J557"/>
  <c r="L684"/>
  <c r="J684"/>
  <c r="L690"/>
  <c r="N690" s="1"/>
  <c r="J690"/>
  <c r="L754"/>
  <c r="J754"/>
  <c r="L759"/>
  <c r="M759" s="1"/>
  <c r="N759" s="1"/>
  <c r="P759" s="1"/>
  <c r="Q759" s="1"/>
  <c r="J759"/>
  <c r="P819"/>
  <c r="Q819" s="1"/>
  <c r="S821"/>
  <c r="T821" s="1"/>
  <c r="L859"/>
  <c r="N859" s="1"/>
  <c r="P859" s="1"/>
  <c r="Q859" s="1"/>
  <c r="S859" s="1"/>
  <c r="T859" s="1"/>
  <c r="H873"/>
  <c r="L861"/>
  <c r="J861"/>
  <c r="L875"/>
  <c r="N875" s="1"/>
  <c r="J875"/>
  <c r="M881"/>
  <c r="N881" s="1"/>
  <c r="P881" s="1"/>
  <c r="Q881" s="1"/>
  <c r="S881" s="1"/>
  <c r="T881" s="1"/>
  <c r="T65"/>
  <c r="T84" s="1"/>
  <c r="S84"/>
  <c r="H319"/>
  <c r="H133"/>
  <c r="Q431"/>
  <c r="S431" s="1"/>
  <c r="T431" s="1"/>
  <c r="L890"/>
  <c r="N890" s="1"/>
  <c r="Q890" s="1"/>
  <c r="T890" s="1"/>
  <c r="J890"/>
  <c r="L552"/>
  <c r="N552" s="1"/>
  <c r="Q552" s="1"/>
  <c r="T552" s="1"/>
  <c r="U552" s="1"/>
  <c r="U553" s="1"/>
  <c r="J552"/>
  <c r="L547"/>
  <c r="N547" s="1"/>
  <c r="Q547" s="1"/>
  <c r="T547" s="1"/>
  <c r="J547"/>
  <c r="L93"/>
  <c r="N93" s="1"/>
  <c r="Q93" s="1"/>
  <c r="T93" s="1"/>
  <c r="U93" s="1"/>
  <c r="J93"/>
  <c r="L175"/>
  <c r="N175" s="1"/>
  <c r="Q175" s="1"/>
  <c r="T175" s="1"/>
  <c r="U175" s="1"/>
  <c r="J175"/>
  <c r="L836"/>
  <c r="N836" s="1"/>
  <c r="Q836" s="1"/>
  <c r="T836" s="1"/>
  <c r="U836" s="1"/>
  <c r="J836"/>
  <c r="L736"/>
  <c r="N736" s="1"/>
  <c r="Q736" s="1"/>
  <c r="T736" s="1"/>
  <c r="U736" s="1"/>
  <c r="J736"/>
  <c r="L728"/>
  <c r="N728" s="1"/>
  <c r="Q728" s="1"/>
  <c r="T728" s="1"/>
  <c r="U728" s="1"/>
  <c r="J728"/>
  <c r="L720"/>
  <c r="N720" s="1"/>
  <c r="Q720" s="1"/>
  <c r="T720" s="1"/>
  <c r="U720" s="1"/>
  <c r="J720"/>
  <c r="L715"/>
  <c r="N715" s="1"/>
  <c r="Q715" s="1"/>
  <c r="T715" s="1"/>
  <c r="U715" s="1"/>
  <c r="J715"/>
  <c r="L647"/>
  <c r="N647" s="1"/>
  <c r="Q647" s="1"/>
  <c r="T647" s="1"/>
  <c r="J647"/>
  <c r="L632"/>
  <c r="N632" s="1"/>
  <c r="Q632" s="1"/>
  <c r="J632"/>
  <c r="L576"/>
  <c r="N576" s="1"/>
  <c r="Q576" s="1"/>
  <c r="T576" s="1"/>
  <c r="U576" s="1"/>
  <c r="J576"/>
  <c r="L489"/>
  <c r="N489" s="1"/>
  <c r="Q489" s="1"/>
  <c r="T489" s="1"/>
  <c r="U489" s="1"/>
  <c r="J489"/>
  <c r="L459"/>
  <c r="N459" s="1"/>
  <c r="Q459" s="1"/>
  <c r="T459" s="1"/>
  <c r="U459" s="1"/>
  <c r="J459"/>
  <c r="L453"/>
  <c r="N453" s="1"/>
  <c r="Q453" s="1"/>
  <c r="T453" s="1"/>
  <c r="U453" s="1"/>
  <c r="J453"/>
  <c r="L451"/>
  <c r="N451" s="1"/>
  <c r="Q451" s="1"/>
  <c r="T451" s="1"/>
  <c r="U451" s="1"/>
  <c r="J451"/>
  <c r="L449"/>
  <c r="N449" s="1"/>
  <c r="Q449" s="1"/>
  <c r="T449" s="1"/>
  <c r="U449" s="1"/>
  <c r="J449"/>
  <c r="L445"/>
  <c r="N445" s="1"/>
  <c r="Q445" s="1"/>
  <c r="T445" s="1"/>
  <c r="U445" s="1"/>
  <c r="J445"/>
  <c r="L405"/>
  <c r="N405" s="1"/>
  <c r="Q405" s="1"/>
  <c r="T405" s="1"/>
  <c r="U405" s="1"/>
  <c r="J405"/>
  <c r="L401"/>
  <c r="N401" s="1"/>
  <c r="Q401" s="1"/>
  <c r="T401" s="1"/>
  <c r="U401" s="1"/>
  <c r="J401"/>
  <c r="L398"/>
  <c r="N398" s="1"/>
  <c r="Q398" s="1"/>
  <c r="T398" s="1"/>
  <c r="U398" s="1"/>
  <c r="J398"/>
  <c r="L213"/>
  <c r="N213" s="1"/>
  <c r="Q213" s="1"/>
  <c r="T213" s="1"/>
  <c r="U213" s="1"/>
  <c r="J213"/>
  <c r="L107"/>
  <c r="N107" s="1"/>
  <c r="P107" s="1"/>
  <c r="Q107" s="1"/>
  <c r="J107"/>
  <c r="L148"/>
  <c r="N148" s="1"/>
  <c r="H162"/>
  <c r="L151"/>
  <c r="M151" s="1"/>
  <c r="N151" s="1"/>
  <c r="P151" s="1"/>
  <c r="J151"/>
  <c r="L166"/>
  <c r="M166" s="1"/>
  <c r="J166"/>
  <c r="L186"/>
  <c r="N186" s="1"/>
  <c r="P186" s="1"/>
  <c r="Q186" s="1"/>
  <c r="J186"/>
  <c r="L225"/>
  <c r="N225" s="1"/>
  <c r="P225" s="1"/>
  <c r="Q225" s="1"/>
  <c r="S225" s="1"/>
  <c r="T225" s="1"/>
  <c r="J225"/>
  <c r="H254"/>
  <c r="H256" s="1"/>
  <c r="N257"/>
  <c r="M295"/>
  <c r="S269"/>
  <c r="T269" s="1"/>
  <c r="P297"/>
  <c r="Q297" s="1"/>
  <c r="N319"/>
  <c r="S346"/>
  <c r="T346" s="1"/>
  <c r="L379"/>
  <c r="M379" s="1"/>
  <c r="N379" s="1"/>
  <c r="P379" s="1"/>
  <c r="J379"/>
  <c r="L540"/>
  <c r="N540" s="1"/>
  <c r="P540" s="1"/>
  <c r="Q540" s="1"/>
  <c r="J540"/>
  <c r="N372"/>
  <c r="Q372" s="1"/>
  <c r="T372" s="1"/>
  <c r="U372" s="1"/>
  <c r="U375" s="1"/>
  <c r="N499"/>
  <c r="P499" s="1"/>
  <c r="E409"/>
  <c r="E657"/>
  <c r="J771"/>
  <c r="J460"/>
  <c r="J208"/>
  <c r="H430"/>
  <c r="F594"/>
  <c r="F606" s="1"/>
  <c r="F224"/>
  <c r="F182"/>
  <c r="J139"/>
  <c r="S524"/>
  <c r="T524" s="1"/>
  <c r="P16"/>
  <c r="Q16" s="1"/>
  <c r="P860"/>
  <c r="Q860" s="1"/>
  <c r="S860" s="1"/>
  <c r="J333"/>
  <c r="J367" s="1"/>
  <c r="H367"/>
  <c r="L701"/>
  <c r="N701" s="1"/>
  <c r="Q701" s="1"/>
  <c r="T701" s="1"/>
  <c r="U701" s="1"/>
  <c r="J701"/>
  <c r="L693"/>
  <c r="N693" s="1"/>
  <c r="Q693" s="1"/>
  <c r="T693" s="1"/>
  <c r="U693" s="1"/>
  <c r="J693"/>
  <c r="L797"/>
  <c r="N797" s="1"/>
  <c r="Q797" s="1"/>
  <c r="T797" s="1"/>
  <c r="U797" s="1"/>
  <c r="J797"/>
  <c r="H730"/>
  <c r="H750" s="1"/>
  <c r="G750"/>
  <c r="L726"/>
  <c r="N726" s="1"/>
  <c r="Q726" s="1"/>
  <c r="T726" s="1"/>
  <c r="U726" s="1"/>
  <c r="J726"/>
  <c r="L724"/>
  <c r="N724" s="1"/>
  <c r="Q724" s="1"/>
  <c r="T724" s="1"/>
  <c r="U724" s="1"/>
  <c r="J724"/>
  <c r="L643"/>
  <c r="N643" s="1"/>
  <c r="Q643" s="1"/>
  <c r="T643" s="1"/>
  <c r="U643" s="1"/>
  <c r="J643"/>
  <c r="L634"/>
  <c r="N634" s="1"/>
  <c r="Q634" s="1"/>
  <c r="T634" s="1"/>
  <c r="U634" s="1"/>
  <c r="J634"/>
  <c r="L595"/>
  <c r="N595" s="1"/>
  <c r="J595"/>
  <c r="L570"/>
  <c r="N570" s="1"/>
  <c r="Q570" s="1"/>
  <c r="T570" s="1"/>
  <c r="U570" s="1"/>
  <c r="J570"/>
  <c r="L480"/>
  <c r="N480" s="1"/>
  <c r="Q480" s="1"/>
  <c r="T480" s="1"/>
  <c r="U480" s="1"/>
  <c r="J480"/>
  <c r="L392"/>
  <c r="N392" s="1"/>
  <c r="Q392" s="1"/>
  <c r="T392" s="1"/>
  <c r="U392" s="1"/>
  <c r="J392"/>
  <c r="L390"/>
  <c r="N390" s="1"/>
  <c r="Q390" s="1"/>
  <c r="T390" s="1"/>
  <c r="U390" s="1"/>
  <c r="J390"/>
  <c r="L328"/>
  <c r="N328" s="1"/>
  <c r="Q328" s="1"/>
  <c r="T328" s="1"/>
  <c r="U328" s="1"/>
  <c r="J328"/>
  <c r="L324"/>
  <c r="N324" s="1"/>
  <c r="Q324" s="1"/>
  <c r="T324" s="1"/>
  <c r="U324" s="1"/>
  <c r="H332"/>
  <c r="J324"/>
  <c r="L197"/>
  <c r="N197" s="1"/>
  <c r="J197"/>
  <c r="L122"/>
  <c r="N122" s="1"/>
  <c r="Q122" s="1"/>
  <c r="T122" s="1"/>
  <c r="U122" s="1"/>
  <c r="J122"/>
  <c r="L49"/>
  <c r="N49" s="1"/>
  <c r="Q49" s="1"/>
  <c r="T49" s="1"/>
  <c r="U49" s="1"/>
  <c r="J49"/>
  <c r="L4"/>
  <c r="M4" s="1"/>
  <c r="J4"/>
  <c r="L369"/>
  <c r="H371"/>
  <c r="L791"/>
  <c r="N791" s="1"/>
  <c r="P791" s="1"/>
  <c r="Q791" s="1"/>
  <c r="J791"/>
  <c r="L9"/>
  <c r="M9" s="1"/>
  <c r="N9" s="1"/>
  <c r="P9" s="1"/>
  <c r="Q9" s="1"/>
  <c r="J9"/>
  <c r="L13"/>
  <c r="M13" s="1"/>
  <c r="N13" s="1"/>
  <c r="P13" s="1"/>
  <c r="Q13" s="1"/>
  <c r="J13"/>
  <c r="H95"/>
  <c r="L96"/>
  <c r="J96"/>
  <c r="L152"/>
  <c r="J152"/>
  <c r="L170"/>
  <c r="N170" s="1"/>
  <c r="J170"/>
  <c r="L183"/>
  <c r="N183" s="1"/>
  <c r="P183" s="1"/>
  <c r="Q183" s="1"/>
  <c r="J183"/>
  <c r="P266"/>
  <c r="Q266" s="1"/>
  <c r="S266" s="1"/>
  <c r="T266" s="1"/>
  <c r="L439"/>
  <c r="N439" s="1"/>
  <c r="P439" s="1"/>
  <c r="Q439" s="1"/>
  <c r="S439" s="1"/>
  <c r="T439" s="1"/>
  <c r="J439"/>
  <c r="L511"/>
  <c r="N511" s="1"/>
  <c r="Q511" s="1"/>
  <c r="T511" s="1"/>
  <c r="U511" s="1"/>
  <c r="J511"/>
  <c r="L561"/>
  <c r="J561"/>
  <c r="L562"/>
  <c r="J562"/>
  <c r="L564"/>
  <c r="N564" s="1"/>
  <c r="P564" s="1"/>
  <c r="Q564" s="1"/>
  <c r="S564" s="1"/>
  <c r="T564" s="1"/>
  <c r="J564"/>
  <c r="N607"/>
  <c r="L688"/>
  <c r="J688"/>
  <c r="M711"/>
  <c r="N711" s="1"/>
  <c r="P711" s="1"/>
  <c r="Q711" s="1"/>
  <c r="L757"/>
  <c r="M757" s="1"/>
  <c r="N757" s="1"/>
  <c r="J757"/>
  <c r="L761"/>
  <c r="J761"/>
  <c r="L763"/>
  <c r="N763" s="1"/>
  <c r="J763"/>
  <c r="M877"/>
  <c r="N877" s="1"/>
  <c r="P877" s="1"/>
  <c r="Q877" s="1"/>
  <c r="S877" s="1"/>
  <c r="T877" s="1"/>
  <c r="L879"/>
  <c r="M879" s="1"/>
  <c r="N879" s="1"/>
  <c r="J879"/>
  <c r="F750"/>
  <c r="L887"/>
  <c r="N887" s="1"/>
  <c r="Q887" s="1"/>
  <c r="T887" s="1"/>
  <c r="J887"/>
  <c r="L243"/>
  <c r="N243" s="1"/>
  <c r="Q243" s="1"/>
  <c r="T243" s="1"/>
  <c r="J243"/>
  <c r="L25"/>
  <c r="N25" s="1"/>
  <c r="Q25" s="1"/>
  <c r="T25" s="1"/>
  <c r="J25"/>
  <c r="L706"/>
  <c r="N706" s="1"/>
  <c r="Q706" s="1"/>
  <c r="T706" s="1"/>
  <c r="U706" s="1"/>
  <c r="J706"/>
  <c r="L176"/>
  <c r="N176" s="1"/>
  <c r="Q176" s="1"/>
  <c r="T176" s="1"/>
  <c r="U176" s="1"/>
  <c r="J176"/>
  <c r="L772"/>
  <c r="N772" s="1"/>
  <c r="Q772" s="1"/>
  <c r="T772" s="1"/>
  <c r="J772"/>
  <c r="L770"/>
  <c r="N770" s="1"/>
  <c r="Q770" s="1"/>
  <c r="T770" s="1"/>
  <c r="J770"/>
  <c r="L781"/>
  <c r="N781" s="1"/>
  <c r="Q781" s="1"/>
  <c r="T781" s="1"/>
  <c r="U781" s="1"/>
  <c r="J781"/>
  <c r="L737"/>
  <c r="N737" s="1"/>
  <c r="Q737" s="1"/>
  <c r="T737" s="1"/>
  <c r="J737"/>
  <c r="L719"/>
  <c r="N719" s="1"/>
  <c r="Q719" s="1"/>
  <c r="T719" s="1"/>
  <c r="U719" s="1"/>
  <c r="J719"/>
  <c r="L587"/>
  <c r="N587" s="1"/>
  <c r="Q587" s="1"/>
  <c r="T587" s="1"/>
  <c r="U587" s="1"/>
  <c r="J587"/>
  <c r="L575"/>
  <c r="N575" s="1"/>
  <c r="Q575" s="1"/>
  <c r="T575" s="1"/>
  <c r="U575" s="1"/>
  <c r="J575"/>
  <c r="H455"/>
  <c r="G468"/>
  <c r="L402"/>
  <c r="N402" s="1"/>
  <c r="Q402" s="1"/>
  <c r="S402" s="1"/>
  <c r="T402" s="1"/>
  <c r="J402"/>
  <c r="L400"/>
  <c r="N400" s="1"/>
  <c r="Q400" s="1"/>
  <c r="T400" s="1"/>
  <c r="U400" s="1"/>
  <c r="J400"/>
  <c r="L216"/>
  <c r="N216" s="1"/>
  <c r="Q216" s="1"/>
  <c r="T216" s="1"/>
  <c r="U216" s="1"/>
  <c r="J216"/>
  <c r="L869"/>
  <c r="J869"/>
  <c r="L105"/>
  <c r="N105" s="1"/>
  <c r="P105" s="1"/>
  <c r="Q105" s="1"/>
  <c r="S105" s="1"/>
  <c r="T105" s="1"/>
  <c r="J105"/>
  <c r="L149"/>
  <c r="M149" s="1"/>
  <c r="J149"/>
  <c r="L153"/>
  <c r="N153" s="1"/>
  <c r="P153" s="1"/>
  <c r="Q153" s="1"/>
  <c r="S153" s="1"/>
  <c r="T153" s="1"/>
  <c r="J153"/>
  <c r="L167"/>
  <c r="M167" s="1"/>
  <c r="N167" s="1"/>
  <c r="P167" s="1"/>
  <c r="Q167" s="1"/>
  <c r="J167"/>
  <c r="L189"/>
  <c r="N189" s="1"/>
  <c r="P189" s="1"/>
  <c r="Q189" s="1"/>
  <c r="S189" s="1"/>
  <c r="T189" s="1"/>
  <c r="J189"/>
  <c r="P339"/>
  <c r="Q339" s="1"/>
  <c r="S339" s="1"/>
  <c r="T339" s="1"/>
  <c r="P342"/>
  <c r="Q342" s="1"/>
  <c r="S342" s="1"/>
  <c r="T342" s="1"/>
  <c r="L378"/>
  <c r="M378" s="1"/>
  <c r="J378"/>
  <c r="L380"/>
  <c r="M380" s="1"/>
  <c r="N380" s="1"/>
  <c r="P380" s="1"/>
  <c r="Q380" s="1"/>
  <c r="S380" s="1"/>
  <c r="T380" s="1"/>
  <c r="J380"/>
  <c r="L382"/>
  <c r="M382" s="1"/>
  <c r="N382" s="1"/>
  <c r="J382"/>
  <c r="L473"/>
  <c r="M473" s="1"/>
  <c r="N473" s="1"/>
  <c r="P473" s="1"/>
  <c r="J473"/>
  <c r="L476"/>
  <c r="M476" s="1"/>
  <c r="N476" s="1"/>
  <c r="P476" s="1"/>
  <c r="Q476" s="1"/>
  <c r="J476"/>
  <c r="L508"/>
  <c r="N508" s="1"/>
  <c r="Q508" s="1"/>
  <c r="T508" s="1"/>
  <c r="U508" s="1"/>
  <c r="J508"/>
  <c r="M500"/>
  <c r="N500" s="1"/>
  <c r="P500" s="1"/>
  <c r="Q500" s="1"/>
  <c r="S500" s="1"/>
  <c r="T500" s="1"/>
  <c r="M498"/>
  <c r="N498" s="1"/>
  <c r="L541"/>
  <c r="M541" s="1"/>
  <c r="J541"/>
  <c r="P608"/>
  <c r="Q608" s="1"/>
  <c r="S608" s="1"/>
  <c r="T608" s="1"/>
  <c r="L622"/>
  <c r="J622"/>
  <c r="L670"/>
  <c r="N670" s="1"/>
  <c r="J670"/>
  <c r="L683"/>
  <c r="J683"/>
  <c r="L685"/>
  <c r="J685"/>
  <c r="L751"/>
  <c r="J751"/>
  <c r="L765"/>
  <c r="J765"/>
  <c r="T260"/>
  <c r="Q762"/>
  <c r="S762" s="1"/>
  <c r="N230"/>
  <c r="T822"/>
  <c r="Q766"/>
  <c r="S766" s="1"/>
  <c r="T766" s="1"/>
  <c r="E332"/>
  <c r="H34"/>
  <c r="H409"/>
  <c r="N474"/>
  <c r="P474" s="1"/>
  <c r="Q474" s="1"/>
  <c r="M750"/>
  <c r="N722"/>
  <c r="P862"/>
  <c r="N554"/>
  <c r="P542"/>
  <c r="Q542" s="1"/>
  <c r="S542" s="1"/>
  <c r="T542" s="1"/>
  <c r="V2"/>
  <c r="Q610"/>
  <c r="S386"/>
  <c r="T386" s="1"/>
  <c r="L549"/>
  <c r="N549" s="1"/>
  <c r="Q549" s="1"/>
  <c r="T549" s="1"/>
  <c r="J549"/>
  <c r="H553"/>
  <c r="L424"/>
  <c r="N424" s="1"/>
  <c r="Q424" s="1"/>
  <c r="T424" s="1"/>
  <c r="U424" s="1"/>
  <c r="J424"/>
  <c r="L248"/>
  <c r="N248" s="1"/>
  <c r="Q248" s="1"/>
  <c r="T248" s="1"/>
  <c r="J248"/>
  <c r="L239"/>
  <c r="N239" s="1"/>
  <c r="Q239" s="1"/>
  <c r="T239" s="1"/>
  <c r="U239" s="1"/>
  <c r="J239"/>
  <c r="L159"/>
  <c r="J159"/>
  <c r="L140"/>
  <c r="H144"/>
  <c r="J140"/>
  <c r="L94"/>
  <c r="N94" s="1"/>
  <c r="Q94" s="1"/>
  <c r="T94" s="1"/>
  <c r="U94" s="1"/>
  <c r="J94"/>
  <c r="L22"/>
  <c r="N22" s="1"/>
  <c r="Q22" s="1"/>
  <c r="T22" s="1"/>
  <c r="U22" s="1"/>
  <c r="J22"/>
  <c r="L707"/>
  <c r="N707" s="1"/>
  <c r="Q707" s="1"/>
  <c r="T707" s="1"/>
  <c r="U707" s="1"/>
  <c r="J707"/>
  <c r="L697"/>
  <c r="N697" s="1"/>
  <c r="Q697" s="1"/>
  <c r="T697" s="1"/>
  <c r="U697" s="1"/>
  <c r="J697"/>
  <c r="L716"/>
  <c r="N716" s="1"/>
  <c r="Q716" s="1"/>
  <c r="T716" s="1"/>
  <c r="U716" s="1"/>
  <c r="H721"/>
  <c r="L605"/>
  <c r="N605" s="1"/>
  <c r="Q605" s="1"/>
  <c r="T605" s="1"/>
  <c r="U605" s="1"/>
  <c r="J605"/>
  <c r="H618"/>
  <c r="J602"/>
  <c r="L582"/>
  <c r="N582" s="1"/>
  <c r="Q582" s="1"/>
  <c r="T582" s="1"/>
  <c r="U582" s="1"/>
  <c r="J582"/>
  <c r="L572"/>
  <c r="N572" s="1"/>
  <c r="Q572" s="1"/>
  <c r="T572" s="1"/>
  <c r="U572" s="1"/>
  <c r="J572"/>
  <c r="L487"/>
  <c r="N487" s="1"/>
  <c r="Q487" s="1"/>
  <c r="T487" s="1"/>
  <c r="U487" s="1"/>
  <c r="J487"/>
  <c r="H496"/>
  <c r="L481"/>
  <c r="N481" s="1"/>
  <c r="Q481" s="1"/>
  <c r="T481" s="1"/>
  <c r="U481" s="1"/>
  <c r="P344"/>
  <c r="Q344" s="1"/>
  <c r="M413"/>
  <c r="S840"/>
  <c r="T840" s="1"/>
  <c r="N874"/>
  <c r="Q385"/>
  <c r="S385" s="1"/>
  <c r="T385" s="1"/>
  <c r="T15"/>
  <c r="F897"/>
  <c r="F873"/>
  <c r="F839"/>
  <c r="F721"/>
  <c r="F254"/>
  <c r="F256" s="1"/>
  <c r="F162"/>
  <c r="F34"/>
  <c r="F5"/>
  <c r="T551"/>
  <c r="Q299"/>
  <c r="T602"/>
  <c r="N558"/>
  <c r="P558" s="1"/>
  <c r="Q558" s="1"/>
  <c r="S558" s="1"/>
  <c r="T558" s="1"/>
  <c r="P475"/>
  <c r="Q475" s="1"/>
  <c r="S475" s="1"/>
  <c r="T475" s="1"/>
  <c r="S801"/>
  <c r="T801" s="1"/>
  <c r="P619"/>
  <c r="Q619" s="1"/>
  <c r="S619" s="1"/>
  <c r="T619" s="1"/>
  <c r="N433"/>
  <c r="P381"/>
  <c r="Q381" s="1"/>
  <c r="S381" s="1"/>
  <c r="T381" s="1"/>
  <c r="S18"/>
  <c r="T18" s="1"/>
  <c r="I254"/>
  <c r="J241"/>
  <c r="L896"/>
  <c r="N896" s="1"/>
  <c r="Q896" s="1"/>
  <c r="T896" s="1"/>
  <c r="J896"/>
  <c r="L893"/>
  <c r="N893" s="1"/>
  <c r="Q893" s="1"/>
  <c r="T893" s="1"/>
  <c r="J893"/>
  <c r="L550"/>
  <c r="J550"/>
  <c r="L421"/>
  <c r="N421" s="1"/>
  <c r="Q421" s="1"/>
  <c r="T421" s="1"/>
  <c r="U421" s="1"/>
  <c r="J421"/>
  <c r="N134"/>
  <c r="L137"/>
  <c r="L88"/>
  <c r="J88"/>
  <c r="L24"/>
  <c r="N24" s="1"/>
  <c r="Q24" s="1"/>
  <c r="T24" s="1"/>
  <c r="J24"/>
  <c r="L696"/>
  <c r="N696" s="1"/>
  <c r="Q696" s="1"/>
  <c r="T696" s="1"/>
  <c r="U696" s="1"/>
  <c r="J696"/>
  <c r="L692"/>
  <c r="J692"/>
  <c r="L172"/>
  <c r="J172"/>
  <c r="L834"/>
  <c r="N834" s="1"/>
  <c r="Q834" s="1"/>
  <c r="T834" s="1"/>
  <c r="U834" s="1"/>
  <c r="J834"/>
  <c r="S793"/>
  <c r="T793" s="1"/>
  <c r="L783"/>
  <c r="N783" s="1"/>
  <c r="Q783" s="1"/>
  <c r="T783" s="1"/>
  <c r="J783"/>
  <c r="L775"/>
  <c r="N775" s="1"/>
  <c r="Q775" s="1"/>
  <c r="T775" s="1"/>
  <c r="U775" s="1"/>
  <c r="J775"/>
  <c r="L769"/>
  <c r="N769" s="1"/>
  <c r="Q769" s="1"/>
  <c r="T769" s="1"/>
  <c r="J769"/>
  <c r="H827"/>
  <c r="L780"/>
  <c r="N780" s="1"/>
  <c r="Q780" s="1"/>
  <c r="T780" s="1"/>
  <c r="U780" s="1"/>
  <c r="J780"/>
  <c r="L735"/>
  <c r="N735" s="1"/>
  <c r="Q735" s="1"/>
  <c r="T735" s="1"/>
  <c r="U735" s="1"/>
  <c r="J735"/>
  <c r="L729"/>
  <c r="J729"/>
  <c r="L718"/>
  <c r="N718" s="1"/>
  <c r="Q718" s="1"/>
  <c r="T718" s="1"/>
  <c r="U718" s="1"/>
  <c r="J718"/>
  <c r="L642"/>
  <c r="N642" s="1"/>
  <c r="Q642" s="1"/>
  <c r="T642" s="1"/>
  <c r="U642" s="1"/>
  <c r="J642"/>
  <c r="L635"/>
  <c r="N635" s="1"/>
  <c r="Q635" s="1"/>
  <c r="T635" s="1"/>
  <c r="U635" s="1"/>
  <c r="J635"/>
  <c r="L630"/>
  <c r="N630" s="1"/>
  <c r="Q630" s="1"/>
  <c r="T630" s="1"/>
  <c r="U630" s="1"/>
  <c r="J630"/>
  <c r="H600"/>
  <c r="L588"/>
  <c r="N588" s="1"/>
  <c r="Q588" s="1"/>
  <c r="T588" s="1"/>
  <c r="U588" s="1"/>
  <c r="J588"/>
  <c r="L569"/>
  <c r="N569" s="1"/>
  <c r="Q569" s="1"/>
  <c r="T569" s="1"/>
  <c r="U569" s="1"/>
  <c r="J569"/>
  <c r="H594"/>
  <c r="H606" s="1"/>
  <c r="L492"/>
  <c r="N492" s="1"/>
  <c r="Q492" s="1"/>
  <c r="T492" s="1"/>
  <c r="U492" s="1"/>
  <c r="J492"/>
  <c r="Q686"/>
  <c r="S686" s="1"/>
  <c r="T686" s="1"/>
  <c r="N880"/>
  <c r="P880" s="1"/>
  <c r="Q880" s="1"/>
  <c r="S880" s="1"/>
  <c r="N321"/>
  <c r="Q321" s="1"/>
  <c r="T321" s="1"/>
  <c r="U321" s="1"/>
  <c r="Q147"/>
  <c r="S147" s="1"/>
  <c r="Q106"/>
  <c r="S106" s="1"/>
  <c r="T106" s="1"/>
  <c r="N58"/>
  <c r="P58" s="1"/>
  <c r="Q560"/>
  <c r="Q477"/>
  <c r="S841"/>
  <c r="T841" s="1"/>
  <c r="Q188"/>
  <c r="S188" s="1"/>
  <c r="T188" s="1"/>
  <c r="T296"/>
  <c r="F618"/>
  <c r="F600"/>
  <c r="F496"/>
  <c r="F430"/>
  <c r="F375"/>
  <c r="F371"/>
  <c r="J892"/>
  <c r="F858"/>
  <c r="J858"/>
  <c r="P858"/>
  <c r="F468"/>
  <c r="F332"/>
  <c r="F133"/>
  <c r="F95"/>
  <c r="F367"/>
  <c r="R898"/>
  <c r="K2" i="1"/>
  <c r="S620" i="3"/>
  <c r="T620" s="1"/>
  <c r="S556"/>
  <c r="T556" s="1"/>
  <c r="P36"/>
  <c r="Q36" s="1"/>
  <c r="P42"/>
  <c r="Q42" s="1"/>
  <c r="P232"/>
  <c r="Q232" s="1"/>
  <c r="T3"/>
  <c r="I80" i="1"/>
  <c r="J70"/>
  <c r="J80" s="1"/>
  <c r="S876" i="3"/>
  <c r="T876" s="1"/>
  <c r="S680"/>
  <c r="T680" s="1"/>
  <c r="S470"/>
  <c r="T470" s="1"/>
  <c r="P878"/>
  <c r="Q878" s="1"/>
  <c r="P40"/>
  <c r="Q40" s="1"/>
  <c r="T624"/>
  <c r="T418"/>
  <c r="T472"/>
  <c r="S798"/>
  <c r="T798" s="1"/>
  <c r="S388"/>
  <c r="T388" s="1"/>
  <c r="P7"/>
  <c r="P41"/>
  <c r="Q41" s="1"/>
  <c r="P185"/>
  <c r="S190"/>
  <c r="T190" s="1"/>
  <c r="P441"/>
  <c r="Q441" s="1"/>
  <c r="T817"/>
  <c r="Q682"/>
  <c r="P559"/>
  <c r="P438"/>
  <c r="Q438" s="1"/>
  <c r="S263"/>
  <c r="T263" s="1"/>
  <c r="S566"/>
  <c r="T566" s="1"/>
  <c r="S99"/>
  <c r="T99" s="1"/>
  <c r="P144"/>
  <c r="Q138"/>
  <c r="S262"/>
  <c r="P469"/>
  <c r="S226"/>
  <c r="Q842"/>
  <c r="P767"/>
  <c r="Q767" s="1"/>
  <c r="P756"/>
  <c r="Q301"/>
  <c r="P337"/>
  <c r="Q804"/>
  <c r="Q802"/>
  <c r="U4" i="1" l="1"/>
  <c r="V4" s="1"/>
  <c r="S64"/>
  <c r="T64" s="1"/>
  <c r="U23"/>
  <c r="V23" s="1"/>
  <c r="S25"/>
  <c r="T25" s="1"/>
  <c r="V25" s="1"/>
  <c r="U49"/>
  <c r="V49" s="1"/>
  <c r="V6"/>
  <c r="U53"/>
  <c r="V53" s="1"/>
  <c r="E96"/>
  <c r="S71"/>
  <c r="T71" s="1"/>
  <c r="V71" s="1"/>
  <c r="S43"/>
  <c r="T43" s="1"/>
  <c r="V43" s="1"/>
  <c r="V91"/>
  <c r="S26"/>
  <c r="T26" s="1"/>
  <c r="V26" s="1"/>
  <c r="U42"/>
  <c r="V42" s="1"/>
  <c r="U12"/>
  <c r="V12" s="1"/>
  <c r="U41"/>
  <c r="V41" s="1"/>
  <c r="S39"/>
  <c r="T39" s="1"/>
  <c r="V39" s="1"/>
  <c r="S75"/>
  <c r="T75" s="1"/>
  <c r="S83"/>
  <c r="T83" s="1"/>
  <c r="V83" s="1"/>
  <c r="S24"/>
  <c r="T24" s="1"/>
  <c r="S55"/>
  <c r="T55" s="1"/>
  <c r="V55" s="1"/>
  <c r="U13"/>
  <c r="V13" s="1"/>
  <c r="V89"/>
  <c r="U16"/>
  <c r="V16" s="1"/>
  <c r="S52"/>
  <c r="T52" s="1"/>
  <c r="V52" s="1"/>
  <c r="AE335" i="3"/>
  <c r="AF335" s="1"/>
  <c r="AE109"/>
  <c r="AF109" s="1"/>
  <c r="AE76"/>
  <c r="AF76" s="1"/>
  <c r="AE39"/>
  <c r="AF39" s="1"/>
  <c r="T384"/>
  <c r="V384" s="1"/>
  <c r="W384" s="1"/>
  <c r="M468"/>
  <c r="N98"/>
  <c r="P98" s="1"/>
  <c r="Q98" s="1"/>
  <c r="T103"/>
  <c r="V103" s="1"/>
  <c r="W103" s="1"/>
  <c r="Q437"/>
  <c r="S437" s="1"/>
  <c r="T437" s="1"/>
  <c r="I674"/>
  <c r="I678" s="1"/>
  <c r="I709" s="1"/>
  <c r="O674"/>
  <c r="O678" s="1"/>
  <c r="T632"/>
  <c r="AB864"/>
  <c r="AC864" s="1"/>
  <c r="AB691"/>
  <c r="AC691" s="1"/>
  <c r="AB732"/>
  <c r="AC732" s="1"/>
  <c r="G709"/>
  <c r="G898" s="1"/>
  <c r="D709"/>
  <c r="D898" s="1"/>
  <c r="E672"/>
  <c r="E678"/>
  <c r="E674"/>
  <c r="AB713"/>
  <c r="AC713" s="1"/>
  <c r="AB723"/>
  <c r="AC723" s="1"/>
  <c r="K674"/>
  <c r="K678" s="1"/>
  <c r="AB744"/>
  <c r="AC744" s="1"/>
  <c r="AB871"/>
  <c r="AC871" s="1"/>
  <c r="N626"/>
  <c r="AB891"/>
  <c r="AC891" s="1"/>
  <c r="Q755"/>
  <c r="T164"/>
  <c r="V164" s="1"/>
  <c r="AB649"/>
  <c r="AC649" s="1"/>
  <c r="AB637"/>
  <c r="AC637" s="1"/>
  <c r="T563"/>
  <c r="V563" s="1"/>
  <c r="W563" s="1"/>
  <c r="Y563" s="1"/>
  <c r="Z563" s="1"/>
  <c r="AB847"/>
  <c r="AC847" s="1"/>
  <c r="AB611"/>
  <c r="AC611" s="1"/>
  <c r="AB617"/>
  <c r="AC617" s="1"/>
  <c r="Z627"/>
  <c r="AB545"/>
  <c r="AC545" s="1"/>
  <c r="F657"/>
  <c r="AB156"/>
  <c r="AC156" s="1"/>
  <c r="H672"/>
  <c r="AB45"/>
  <c r="AC45" s="1"/>
  <c r="AB19"/>
  <c r="AC19" s="1"/>
  <c r="AB270"/>
  <c r="AC270" s="1"/>
  <c r="AB527"/>
  <c r="AC527" s="1"/>
  <c r="AB83"/>
  <c r="AC83" s="1"/>
  <c r="AB805"/>
  <c r="AC805" s="1"/>
  <c r="AB832"/>
  <c r="AC832" s="1"/>
  <c r="AB123"/>
  <c r="AC123" s="1"/>
  <c r="AB142"/>
  <c r="AC142" s="1"/>
  <c r="AB112"/>
  <c r="AC112" s="1"/>
  <c r="AB823"/>
  <c r="AC823" s="1"/>
  <c r="AB567"/>
  <c r="AC567" s="1"/>
  <c r="AB789"/>
  <c r="AC789" s="1"/>
  <c r="AB318"/>
  <c r="AC318" s="1"/>
  <c r="AB443"/>
  <c r="AC443" s="1"/>
  <c r="I8" i="1"/>
  <c r="Q84"/>
  <c r="Q87" s="1"/>
  <c r="Q5"/>
  <c r="R5" s="1"/>
  <c r="Q35"/>
  <c r="R35" s="1"/>
  <c r="T35" s="1"/>
  <c r="V35" s="1"/>
  <c r="Q17"/>
  <c r="R17" s="1"/>
  <c r="T17" s="1"/>
  <c r="Q11"/>
  <c r="R11" s="1"/>
  <c r="Q74"/>
  <c r="R74" s="1"/>
  <c r="Q14"/>
  <c r="R14" s="1"/>
  <c r="T14" s="1"/>
  <c r="Q3"/>
  <c r="R3" s="1"/>
  <c r="Z368" i="3"/>
  <c r="N416"/>
  <c r="P416" s="1"/>
  <c r="W741"/>
  <c r="Y741" s="1"/>
  <c r="Z741" s="1"/>
  <c r="J332"/>
  <c r="Z255"/>
  <c r="AB255" s="1"/>
  <c r="AB256" s="1"/>
  <c r="Q760"/>
  <c r="Q712"/>
  <c r="Q721" s="1"/>
  <c r="Q753"/>
  <c r="S753" s="1"/>
  <c r="T753" s="1"/>
  <c r="Q830"/>
  <c r="S830" s="1"/>
  <c r="T830" s="1"/>
  <c r="N623"/>
  <c r="P623" s="1"/>
  <c r="Q623" s="1"/>
  <c r="S623" s="1"/>
  <c r="T623" s="1"/>
  <c r="N8"/>
  <c r="P8" s="1"/>
  <c r="Q8" s="1"/>
  <c r="Y646"/>
  <c r="Z646" s="1"/>
  <c r="Y625"/>
  <c r="Z625" s="1"/>
  <c r="Y609"/>
  <c r="Z609" s="1"/>
  <c r="Y574"/>
  <c r="Z574" s="1"/>
  <c r="Y530"/>
  <c r="Z530" s="1"/>
  <c r="AA530" s="1"/>
  <c r="Y507"/>
  <c r="Z507" s="1"/>
  <c r="Y493"/>
  <c r="Z493" s="1"/>
  <c r="Y462"/>
  <c r="Z462" s="1"/>
  <c r="Y425"/>
  <c r="Z425" s="1"/>
  <c r="Y363"/>
  <c r="Z363" s="1"/>
  <c r="Y354"/>
  <c r="Z354" s="1"/>
  <c r="Y345"/>
  <c r="Z345" s="1"/>
  <c r="Y315"/>
  <c r="Z315" s="1"/>
  <c r="Y307"/>
  <c r="Z307" s="1"/>
  <c r="Y281"/>
  <c r="Z281" s="1"/>
  <c r="Y272"/>
  <c r="Z272" s="1"/>
  <c r="Y247"/>
  <c r="Z247" s="1"/>
  <c r="Y210"/>
  <c r="Z210" s="1"/>
  <c r="Y177"/>
  <c r="Z177" s="1"/>
  <c r="Y155"/>
  <c r="Z155" s="1"/>
  <c r="Y116"/>
  <c r="Z116" s="1"/>
  <c r="Y89"/>
  <c r="Z89" s="1"/>
  <c r="Y80"/>
  <c r="Z80" s="1"/>
  <c r="Y70"/>
  <c r="Z70" s="1"/>
  <c r="Y54"/>
  <c r="Z54" s="1"/>
  <c r="Y47"/>
  <c r="Z47" s="1"/>
  <c r="Y38"/>
  <c r="Z38" s="1"/>
  <c r="Y31"/>
  <c r="Z31" s="1"/>
  <c r="Y21"/>
  <c r="Z21" s="1"/>
  <c r="Y81"/>
  <c r="Z81" s="1"/>
  <c r="Y119"/>
  <c r="Z119" s="1"/>
  <c r="Y733"/>
  <c r="Z733" s="1"/>
  <c r="Y97"/>
  <c r="Z97" s="1"/>
  <c r="Y184"/>
  <c r="Z184" s="1"/>
  <c r="Y510"/>
  <c r="Z510" s="1"/>
  <c r="Y865"/>
  <c r="Z865" s="1"/>
  <c r="Y202"/>
  <c r="Z202" s="1"/>
  <c r="Y207"/>
  <c r="Z207" s="1"/>
  <c r="Y271"/>
  <c r="Z271" s="1"/>
  <c r="Y275"/>
  <c r="Z275" s="1"/>
  <c r="Y280"/>
  <c r="Z280" s="1"/>
  <c r="Y316"/>
  <c r="Z316" s="1"/>
  <c r="Y479"/>
  <c r="Z479" s="1"/>
  <c r="Y581"/>
  <c r="Z581" s="1"/>
  <c r="Y645"/>
  <c r="Z645" s="1"/>
  <c r="Y738"/>
  <c r="Z738" s="1"/>
  <c r="Y748"/>
  <c r="Z748" s="1"/>
  <c r="Y768"/>
  <c r="Z768" s="1"/>
  <c r="Y776"/>
  <c r="Z776" s="1"/>
  <c r="Z784"/>
  <c r="Y808"/>
  <c r="Z808" s="1"/>
  <c r="Y813"/>
  <c r="Z813" s="1"/>
  <c r="Y695"/>
  <c r="Z695" s="1"/>
  <c r="Y702"/>
  <c r="Z702" s="1"/>
  <c r="Y349"/>
  <c r="Z349" s="1"/>
  <c r="Y353"/>
  <c r="Z353" s="1"/>
  <c r="Y358"/>
  <c r="Z358" s="1"/>
  <c r="Y362"/>
  <c r="Z362" s="1"/>
  <c r="Y420"/>
  <c r="Z420" s="1"/>
  <c r="Y851"/>
  <c r="Z851" s="1"/>
  <c r="Y886"/>
  <c r="Z886" s="1"/>
  <c r="Y820"/>
  <c r="Z820" s="1"/>
  <c r="Y844"/>
  <c r="Z844" s="1"/>
  <c r="Y465"/>
  <c r="Z465" s="1"/>
  <c r="Y571"/>
  <c r="Z571" s="1"/>
  <c r="Y655"/>
  <c r="Z655" s="1"/>
  <c r="Y747"/>
  <c r="Z747" s="1"/>
  <c r="Y782"/>
  <c r="Z782" s="1"/>
  <c r="Y178"/>
  <c r="Z178" s="1"/>
  <c r="Y850"/>
  <c r="Z850" s="1"/>
  <c r="Y894"/>
  <c r="Z894" s="1"/>
  <c r="Y764"/>
  <c r="Z764" s="1"/>
  <c r="Y849"/>
  <c r="Z849" s="1"/>
  <c r="Y452"/>
  <c r="Z452" s="1"/>
  <c r="Y831"/>
  <c r="Z831" s="1"/>
  <c r="Y843"/>
  <c r="Z843" s="1"/>
  <c r="Y792"/>
  <c r="Z792" s="1"/>
  <c r="Y786"/>
  <c r="Z786" s="1"/>
  <c r="Y514"/>
  <c r="Z514" s="1"/>
  <c r="Y404"/>
  <c r="Z404" s="1"/>
  <c r="Y348"/>
  <c r="Z348" s="1"/>
  <c r="Y279"/>
  <c r="Z279" s="1"/>
  <c r="Y212"/>
  <c r="Z212" s="1"/>
  <c r="Y203"/>
  <c r="Z203" s="1"/>
  <c r="Y79"/>
  <c r="Z79" s="1"/>
  <c r="Y69"/>
  <c r="Z69" s="1"/>
  <c r="Y30"/>
  <c r="Z30" s="1"/>
  <c r="Y885"/>
  <c r="Z885" s="1"/>
  <c r="Y434"/>
  <c r="Z434" s="1"/>
  <c r="Y308"/>
  <c r="Z308" s="1"/>
  <c r="Y513"/>
  <c r="Z513" s="1"/>
  <c r="Y529"/>
  <c r="Z529" s="1"/>
  <c r="AA529" s="1"/>
  <c r="Y534"/>
  <c r="Z534" s="1"/>
  <c r="AA534" s="1"/>
  <c r="Y889"/>
  <c r="Z889" s="1"/>
  <c r="Y867"/>
  <c r="Z867" s="1"/>
  <c r="Y282"/>
  <c r="Z282" s="1"/>
  <c r="Y286"/>
  <c r="Z286" s="1"/>
  <c r="Y289"/>
  <c r="Z289" s="1"/>
  <c r="Y310"/>
  <c r="Z310" s="1"/>
  <c r="Y393"/>
  <c r="Z393" s="1"/>
  <c r="Y397"/>
  <c r="Z397" s="1"/>
  <c r="Y628"/>
  <c r="Z628" s="1"/>
  <c r="Y727"/>
  <c r="Z727" s="1"/>
  <c r="Y749"/>
  <c r="Z749" s="1"/>
  <c r="Y807"/>
  <c r="Z807" s="1"/>
  <c r="Y814"/>
  <c r="Z814" s="1"/>
  <c r="Y848"/>
  <c r="Z848" s="1"/>
  <c r="Y892"/>
  <c r="Z892" s="1"/>
  <c r="Y374"/>
  <c r="Z374" s="1"/>
  <c r="Y577"/>
  <c r="Z577" s="1"/>
  <c r="Y584"/>
  <c r="Z584" s="1"/>
  <c r="Y854"/>
  <c r="Z854" s="1"/>
  <c r="Y258"/>
  <c r="Z258" s="1"/>
  <c r="Y114"/>
  <c r="Z114" s="1"/>
  <c r="Y120"/>
  <c r="Z120" s="1"/>
  <c r="Y389"/>
  <c r="Z389" s="1"/>
  <c r="Y578"/>
  <c r="Z578" s="1"/>
  <c r="Y180"/>
  <c r="Z180" s="1"/>
  <c r="Y55"/>
  <c r="Y50"/>
  <c r="Z50" s="1"/>
  <c r="Y27"/>
  <c r="Z27" s="1"/>
  <c r="Y60"/>
  <c r="Z60" s="1"/>
  <c r="Y113"/>
  <c r="Z113" s="1"/>
  <c r="Y179"/>
  <c r="Z179" s="1"/>
  <c r="Y241"/>
  <c r="Z241" s="1"/>
  <c r="Y313"/>
  <c r="Z313" s="1"/>
  <c r="Y800"/>
  <c r="Z800" s="1"/>
  <c r="Y422"/>
  <c r="Z422" s="1"/>
  <c r="Y396"/>
  <c r="Z396" s="1"/>
  <c r="Y361"/>
  <c r="Z361" s="1"/>
  <c r="Y785"/>
  <c r="Z785" s="1"/>
  <c r="Y528"/>
  <c r="Z528" s="1"/>
  <c r="AA528" s="1"/>
  <c r="Y509"/>
  <c r="Z509" s="1"/>
  <c r="Y803"/>
  <c r="Z803" s="1"/>
  <c r="Y217"/>
  <c r="Z217" s="1"/>
  <c r="Y644"/>
  <c r="Z644" s="1"/>
  <c r="Y457"/>
  <c r="Z457" s="1"/>
  <c r="Y383"/>
  <c r="Z383" s="1"/>
  <c r="Y799"/>
  <c r="Z799" s="1"/>
  <c r="Y264"/>
  <c r="Z264" s="1"/>
  <c r="Y305"/>
  <c r="Z305" s="1"/>
  <c r="Y419"/>
  <c r="Z419" s="1"/>
  <c r="Y387"/>
  <c r="Z387" s="1"/>
  <c r="Y504"/>
  <c r="Z504" s="1"/>
  <c r="Y714"/>
  <c r="Z714" s="1"/>
  <c r="Y639"/>
  <c r="Z639" s="1"/>
  <c r="Y615"/>
  <c r="Z615" s="1"/>
  <c r="Y586"/>
  <c r="Z586" s="1"/>
  <c r="Y535"/>
  <c r="Z535" s="1"/>
  <c r="AA535" s="1"/>
  <c r="Y515"/>
  <c r="Z515" s="1"/>
  <c r="Y502"/>
  <c r="Z502" s="1"/>
  <c r="Y444"/>
  <c r="Z444" s="1"/>
  <c r="Y406"/>
  <c r="Z406" s="1"/>
  <c r="Y359"/>
  <c r="Z359" s="1"/>
  <c r="Y350"/>
  <c r="Z350" s="1"/>
  <c r="Y338"/>
  <c r="Z338" s="1"/>
  <c r="Y311"/>
  <c r="Z311" s="1"/>
  <c r="Y292"/>
  <c r="Z292" s="1"/>
  <c r="Y285"/>
  <c r="Z285" s="1"/>
  <c r="Y276"/>
  <c r="Z276" s="1"/>
  <c r="Y251"/>
  <c r="Z251" s="1"/>
  <c r="Y214"/>
  <c r="Y181"/>
  <c r="Z181" s="1"/>
  <c r="Y173"/>
  <c r="Z173" s="1"/>
  <c r="Y91"/>
  <c r="Z91" s="1"/>
  <c r="Y86"/>
  <c r="Z86" s="1"/>
  <c r="Y82"/>
  <c r="Z82" s="1"/>
  <c r="Y77"/>
  <c r="Z77" s="1"/>
  <c r="Y68"/>
  <c r="Z68" s="1"/>
  <c r="Y57"/>
  <c r="Z57" s="1"/>
  <c r="Y51"/>
  <c r="Z51" s="1"/>
  <c r="Y43"/>
  <c r="Z43" s="1"/>
  <c r="Y28"/>
  <c r="Z28" s="1"/>
  <c r="Y290"/>
  <c r="Z290" s="1"/>
  <c r="Y654"/>
  <c r="Z654" s="1"/>
  <c r="Y365"/>
  <c r="Z365" s="1"/>
  <c r="Y596"/>
  <c r="Z596" s="1"/>
  <c r="Y412"/>
  <c r="Z412" s="1"/>
  <c r="Y888"/>
  <c r="Z888" s="1"/>
  <c r="Y417"/>
  <c r="Z417" s="1"/>
  <c r="Y370"/>
  <c r="Z370" s="1"/>
  <c r="Y204"/>
  <c r="Z204" s="1"/>
  <c r="Y209"/>
  <c r="Z209" s="1"/>
  <c r="Y273"/>
  <c r="Z273" s="1"/>
  <c r="Y277"/>
  <c r="Z277" s="1"/>
  <c r="Y314"/>
  <c r="Z314" s="1"/>
  <c r="Y454"/>
  <c r="Z454" s="1"/>
  <c r="AB454" s="1"/>
  <c r="Y483"/>
  <c r="Z483" s="1"/>
  <c r="Y613"/>
  <c r="Z613" s="1"/>
  <c r="Y653"/>
  <c r="Z653" s="1"/>
  <c r="AB653" s="1"/>
  <c r="AC653" s="1"/>
  <c r="Y734"/>
  <c r="Z734" s="1"/>
  <c r="Y746"/>
  <c r="Z746" s="1"/>
  <c r="Y774"/>
  <c r="Z774" s="1"/>
  <c r="Y778"/>
  <c r="Z778" s="1"/>
  <c r="Y806"/>
  <c r="Z806" s="1"/>
  <c r="Y811"/>
  <c r="Z811" s="1"/>
  <c r="Y825"/>
  <c r="Z825" s="1"/>
  <c r="Y699"/>
  <c r="Z699" s="1"/>
  <c r="Y704"/>
  <c r="Z704" s="1"/>
  <c r="Y351"/>
  <c r="Z351" s="1"/>
  <c r="Y356"/>
  <c r="Z356" s="1"/>
  <c r="Y360"/>
  <c r="Z360" s="1"/>
  <c r="Y364"/>
  <c r="Z364" s="1"/>
  <c r="Y426"/>
  <c r="Z426" s="1"/>
  <c r="Y853"/>
  <c r="Z853" s="1"/>
  <c r="Y516"/>
  <c r="Z516" s="1"/>
  <c r="Y787"/>
  <c r="Z787" s="1"/>
  <c r="Y506"/>
  <c r="Z506" s="1"/>
  <c r="Y863"/>
  <c r="Z863" s="1"/>
  <c r="Y458"/>
  <c r="Z458" s="1"/>
  <c r="Y488"/>
  <c r="Z488" s="1"/>
  <c r="Y631"/>
  <c r="Z631" s="1"/>
  <c r="Y731"/>
  <c r="Z731" s="1"/>
  <c r="Y809"/>
  <c r="Z809" s="1"/>
  <c r="Y824"/>
  <c r="Z824" s="1"/>
  <c r="Y250"/>
  <c r="Z250" s="1"/>
  <c r="Y855"/>
  <c r="Z855" s="1"/>
  <c r="Y866"/>
  <c r="Z866" s="1"/>
  <c r="Y157"/>
  <c r="Z157" s="1"/>
  <c r="Y743"/>
  <c r="Z743" s="1"/>
  <c r="Y456"/>
  <c r="Z456" s="1"/>
  <c r="Y460"/>
  <c r="Z460" s="1"/>
  <c r="Y539"/>
  <c r="Z539" s="1"/>
  <c r="Y648"/>
  <c r="Z648" s="1"/>
  <c r="Y505"/>
  <c r="Z505" s="1"/>
  <c r="Y325"/>
  <c r="Z325" s="1"/>
  <c r="Y274"/>
  <c r="Z274" s="1"/>
  <c r="Y208"/>
  <c r="Z208" s="1"/>
  <c r="Y85"/>
  <c r="Z85" s="1"/>
  <c r="Y71"/>
  <c r="Z71" s="1"/>
  <c r="Y67"/>
  <c r="Z67" s="1"/>
  <c r="Y872"/>
  <c r="Z872" s="1"/>
  <c r="Y522"/>
  <c r="Z522" s="1"/>
  <c r="Y490"/>
  <c r="Z490" s="1"/>
  <c r="Y518"/>
  <c r="Z518" s="1"/>
  <c r="Y531"/>
  <c r="Z531" s="1"/>
  <c r="AA531" s="1"/>
  <c r="Y165"/>
  <c r="Z165" s="1"/>
  <c r="Y870"/>
  <c r="Z870" s="1"/>
  <c r="Y284"/>
  <c r="Z284" s="1"/>
  <c r="Y288"/>
  <c r="Z288" s="1"/>
  <c r="Y291"/>
  <c r="Z291" s="1"/>
  <c r="Y312"/>
  <c r="Z312" s="1"/>
  <c r="Y395"/>
  <c r="Z395" s="1"/>
  <c r="Y598"/>
  <c r="Z598" s="1"/>
  <c r="Y633"/>
  <c r="Z633" s="1"/>
  <c r="Y745"/>
  <c r="Z745" s="1"/>
  <c r="Y771"/>
  <c r="Z771" s="1"/>
  <c r="Y812"/>
  <c r="Z812" s="1"/>
  <c r="Y174"/>
  <c r="Z174" s="1"/>
  <c r="Y852"/>
  <c r="Z852" s="1"/>
  <c r="Y259"/>
  <c r="Z259" s="1"/>
  <c r="Y329"/>
  <c r="Z329" s="1"/>
  <c r="Y573"/>
  <c r="Z573" s="1"/>
  <c r="Y579"/>
  <c r="Z579" s="1"/>
  <c r="Y604"/>
  <c r="Z604" s="1"/>
  <c r="Y638"/>
  <c r="Z638" s="1"/>
  <c r="Y391"/>
  <c r="Z391" s="1"/>
  <c r="Y118"/>
  <c r="Z118" s="1"/>
  <c r="Y446"/>
  <c r="Z446" s="1"/>
  <c r="Y583"/>
  <c r="Z583" s="1"/>
  <c r="Y603"/>
  <c r="Z603" s="1"/>
  <c r="Y597"/>
  <c r="Z597" s="1"/>
  <c r="Y447"/>
  <c r="Z447" s="1"/>
  <c r="Y242"/>
  <c r="Z242" s="1"/>
  <c r="Y52"/>
  <c r="Z52" s="1"/>
  <c r="Y90"/>
  <c r="Z90" s="1"/>
  <c r="Y121"/>
  <c r="Z121" s="1"/>
  <c r="Y158"/>
  <c r="Z158" s="1"/>
  <c r="Y249"/>
  <c r="Z249" s="1"/>
  <c r="Y740"/>
  <c r="Z740" s="1"/>
  <c r="Y471"/>
  <c r="Z471" s="1"/>
  <c r="Y585"/>
  <c r="Z585" s="1"/>
  <c r="Y117"/>
  <c r="Z117" s="1"/>
  <c r="Y779"/>
  <c r="Z779" s="1"/>
  <c r="Y845"/>
  <c r="Z845" s="1"/>
  <c r="Y287"/>
  <c r="Z287" s="1"/>
  <c r="Y423"/>
  <c r="Z423" s="1"/>
  <c r="Y357"/>
  <c r="Z357" s="1"/>
  <c r="Y532"/>
  <c r="Z532" s="1"/>
  <c r="AA532" s="1"/>
  <c r="Y589"/>
  <c r="Z589" s="1"/>
  <c r="Y399"/>
  <c r="Z399" s="1"/>
  <c r="Y580"/>
  <c r="Z580" s="1"/>
  <c r="Y636"/>
  <c r="Z636" s="1"/>
  <c r="Y115"/>
  <c r="Z115" s="1"/>
  <c r="Y525"/>
  <c r="Z525" s="1"/>
  <c r="Y621"/>
  <c r="Z621" s="1"/>
  <c r="Y590"/>
  <c r="Z590" s="1"/>
  <c r="Y403"/>
  <c r="Z403" s="1"/>
  <c r="Y640"/>
  <c r="Z640" s="1"/>
  <c r="AB640" s="1"/>
  <c r="Y154"/>
  <c r="Z154" s="1"/>
  <c r="Y171"/>
  <c r="Z171" s="1"/>
  <c r="Y742"/>
  <c r="Z742" s="1"/>
  <c r="Y237"/>
  <c r="Z237" s="1"/>
  <c r="Y681"/>
  <c r="Z681" s="1"/>
  <c r="Y725"/>
  <c r="Z725" s="1"/>
  <c r="Y347"/>
  <c r="Z347" s="1"/>
  <c r="Y442"/>
  <c r="Z442" s="1"/>
  <c r="Y478"/>
  <c r="Z478" s="1"/>
  <c r="Z145"/>
  <c r="Z33"/>
  <c r="J839"/>
  <c r="I94" i="1"/>
  <c r="G95"/>
  <c r="K56"/>
  <c r="M56" s="1"/>
  <c r="O56" s="1"/>
  <c r="P56" s="1"/>
  <c r="R56" s="1"/>
  <c r="M66"/>
  <c r="O66" s="1"/>
  <c r="J7"/>
  <c r="J8" s="1"/>
  <c r="G93"/>
  <c r="I90"/>
  <c r="O73"/>
  <c r="P73" s="1"/>
  <c r="I15"/>
  <c r="G65"/>
  <c r="H92"/>
  <c r="H93" s="1"/>
  <c r="H96" s="1"/>
  <c r="K81"/>
  <c r="I87"/>
  <c r="K9"/>
  <c r="I10"/>
  <c r="S752" i="3"/>
  <c r="T752" s="1"/>
  <c r="J730"/>
  <c r="J750" s="1"/>
  <c r="T415"/>
  <c r="V415" s="1"/>
  <c r="W415" s="1"/>
  <c r="T298"/>
  <c r="V298" s="1"/>
  <c r="W298" s="1"/>
  <c r="J375"/>
  <c r="Q829"/>
  <c r="S829" s="1"/>
  <c r="P319"/>
  <c r="W523"/>
  <c r="W340"/>
  <c r="W32"/>
  <c r="Q151"/>
  <c r="S151" s="1"/>
  <c r="T151" s="1"/>
  <c r="Q150"/>
  <c r="S150" s="1"/>
  <c r="T150" s="1"/>
  <c r="T101"/>
  <c r="V101" s="1"/>
  <c r="W101" s="1"/>
  <c r="T846"/>
  <c r="V846" s="1"/>
  <c r="W846" s="1"/>
  <c r="N330"/>
  <c r="Q330" s="1"/>
  <c r="T330" s="1"/>
  <c r="V330" s="1"/>
  <c r="W330" s="1"/>
  <c r="M721"/>
  <c r="J721"/>
  <c r="M430"/>
  <c r="Q828"/>
  <c r="S828" s="1"/>
  <c r="T828" s="1"/>
  <c r="V828" s="1"/>
  <c r="Q411"/>
  <c r="S411" s="1"/>
  <c r="T411" s="1"/>
  <c r="V411" s="1"/>
  <c r="N14"/>
  <c r="P14" s="1"/>
  <c r="Q14" s="1"/>
  <c r="S14" s="1"/>
  <c r="T14" s="1"/>
  <c r="U14" s="1"/>
  <c r="V14" s="1"/>
  <c r="W14" s="1"/>
  <c r="W497"/>
  <c r="N435"/>
  <c r="P435" s="1"/>
  <c r="Q435" s="1"/>
  <c r="J371"/>
  <c r="U367"/>
  <c r="U827"/>
  <c r="J182"/>
  <c r="U430"/>
  <c r="J657"/>
  <c r="J669" s="1"/>
  <c r="U839"/>
  <c r="U254"/>
  <c r="U721"/>
  <c r="V612"/>
  <c r="W612" s="1"/>
  <c r="U694"/>
  <c r="V694" s="1"/>
  <c r="W694" s="1"/>
  <c r="U651"/>
  <c r="V651" s="1"/>
  <c r="W651" s="1"/>
  <c r="T606"/>
  <c r="U602"/>
  <c r="U606" s="1"/>
  <c r="U538"/>
  <c r="Q499"/>
  <c r="S499" s="1"/>
  <c r="T499" s="1"/>
  <c r="N375"/>
  <c r="Q377"/>
  <c r="S377" s="1"/>
  <c r="T377" s="1"/>
  <c r="W599"/>
  <c r="V336"/>
  <c r="W336" s="1"/>
  <c r="U594"/>
  <c r="U496"/>
  <c r="U319"/>
  <c r="U463"/>
  <c r="V463" s="1"/>
  <c r="W463" s="1"/>
  <c r="J5"/>
  <c r="U295"/>
  <c r="V352"/>
  <c r="W352" s="1"/>
  <c r="U409"/>
  <c r="Q473"/>
  <c r="S473" s="1"/>
  <c r="T473" s="1"/>
  <c r="N166"/>
  <c r="P166" s="1"/>
  <c r="Q416"/>
  <c r="S416" s="1"/>
  <c r="T416" s="1"/>
  <c r="T168"/>
  <c r="V168" s="1"/>
  <c r="W168" s="1"/>
  <c r="L730"/>
  <c r="N730" s="1"/>
  <c r="Q730" s="1"/>
  <c r="T730" s="1"/>
  <c r="L409"/>
  <c r="N541"/>
  <c r="P541" s="1"/>
  <c r="Q541" s="1"/>
  <c r="J538"/>
  <c r="J873"/>
  <c r="U64"/>
  <c r="J600"/>
  <c r="W440"/>
  <c r="V283"/>
  <c r="W283" s="1"/>
  <c r="V309"/>
  <c r="W309" s="1"/>
  <c r="W306"/>
  <c r="M182"/>
  <c r="S476"/>
  <c r="T476" s="1"/>
  <c r="V476" s="1"/>
  <c r="W476" s="1"/>
  <c r="J430"/>
  <c r="L332"/>
  <c r="U133"/>
  <c r="W300"/>
  <c r="W44"/>
  <c r="V48"/>
  <c r="W48" s="1"/>
  <c r="V20"/>
  <c r="W20" s="1"/>
  <c r="J594"/>
  <c r="J606" s="1"/>
  <c r="L224"/>
  <c r="Q375"/>
  <c r="L5"/>
  <c r="N413"/>
  <c r="P413" s="1"/>
  <c r="Q413" s="1"/>
  <c r="V341"/>
  <c r="W341" s="1"/>
  <c r="S261"/>
  <c r="T261" s="1"/>
  <c r="V261" s="1"/>
  <c r="W261" s="1"/>
  <c r="Q58"/>
  <c r="T58" s="1"/>
  <c r="V58" s="1"/>
  <c r="W58" s="1"/>
  <c r="L721"/>
  <c r="L600"/>
  <c r="J146"/>
  <c r="L146"/>
  <c r="L657"/>
  <c r="L669" s="1"/>
  <c r="I256"/>
  <c r="W601"/>
  <c r="S163"/>
  <c r="T163" s="1"/>
  <c r="J64"/>
  <c r="J84" s="1"/>
  <c r="V619"/>
  <c r="W619" s="1"/>
  <c r="V106"/>
  <c r="W106" s="1"/>
  <c r="V269"/>
  <c r="W269" s="1"/>
  <c r="V12"/>
  <c r="W12" s="1"/>
  <c r="V346"/>
  <c r="W346" s="1"/>
  <c r="V342"/>
  <c r="W342" s="1"/>
  <c r="V266"/>
  <c r="W266" s="1"/>
  <c r="V49"/>
  <c r="W49" s="1"/>
  <c r="V122"/>
  <c r="W122" s="1"/>
  <c r="T375"/>
  <c r="V372"/>
  <c r="W372" s="1"/>
  <c r="V213"/>
  <c r="W213" s="1"/>
  <c r="V398"/>
  <c r="W398" s="1"/>
  <c r="V401"/>
  <c r="W401" s="1"/>
  <c r="V405"/>
  <c r="W405" s="1"/>
  <c r="V445"/>
  <c r="W445" s="1"/>
  <c r="V449"/>
  <c r="W449" s="1"/>
  <c r="V451"/>
  <c r="W451" s="1"/>
  <c r="V453"/>
  <c r="W453" s="1"/>
  <c r="V459"/>
  <c r="W459" s="1"/>
  <c r="V489"/>
  <c r="W489" s="1"/>
  <c r="V576"/>
  <c r="W576" s="1"/>
  <c r="V647"/>
  <c r="W647" s="1"/>
  <c r="V715"/>
  <c r="W715" s="1"/>
  <c r="V720"/>
  <c r="W720" s="1"/>
  <c r="V728"/>
  <c r="W728" s="1"/>
  <c r="V736"/>
  <c r="W736" s="1"/>
  <c r="V836"/>
  <c r="W836" s="1"/>
  <c r="V431"/>
  <c r="W431" s="1"/>
  <c r="V65"/>
  <c r="V821"/>
  <c r="W821" s="1"/>
  <c r="V211"/>
  <c r="W211" s="1"/>
  <c r="V482"/>
  <c r="W482" s="1"/>
  <c r="V491"/>
  <c r="W491" s="1"/>
  <c r="V652"/>
  <c r="W652" s="1"/>
  <c r="V717"/>
  <c r="W717" s="1"/>
  <c r="V773"/>
  <c r="W773" s="1"/>
  <c r="V777"/>
  <c r="W777" s="1"/>
  <c r="V788"/>
  <c r="W788" s="1"/>
  <c r="V698"/>
  <c r="W698" s="1"/>
  <c r="V703"/>
  <c r="W703" s="1"/>
  <c r="V705"/>
  <c r="W705" s="1"/>
  <c r="V26"/>
  <c r="W26" s="1"/>
  <c r="V92"/>
  <c r="W92" s="1"/>
  <c r="V240"/>
  <c r="W240" s="1"/>
  <c r="V244"/>
  <c r="W244" s="1"/>
  <c r="V246"/>
  <c r="W246" s="1"/>
  <c r="S371"/>
  <c r="V229"/>
  <c r="W229" s="1"/>
  <c r="J827"/>
  <c r="J224"/>
  <c r="J133"/>
  <c r="V385"/>
  <c r="W385" s="1"/>
  <c r="V99"/>
  <c r="W99" s="1"/>
  <c r="V566"/>
  <c r="W566" s="1"/>
  <c r="V524"/>
  <c r="W524" s="1"/>
  <c r="V817"/>
  <c r="W817" s="1"/>
  <c r="V402"/>
  <c r="W402" s="1"/>
  <c r="V418"/>
  <c r="W418" s="1"/>
  <c r="V503"/>
  <c r="W503" s="1"/>
  <c r="V876"/>
  <c r="W876" s="1"/>
  <c r="V3"/>
  <c r="W3" s="1"/>
  <c r="Y3" s="1"/>
  <c r="Z3" s="1"/>
  <c r="V689"/>
  <c r="W689" s="1"/>
  <c r="V620"/>
  <c r="W620" s="1"/>
  <c r="V296"/>
  <c r="V841"/>
  <c r="W841" s="1"/>
  <c r="V321"/>
  <c r="W321" s="1"/>
  <c r="V492"/>
  <c r="W492" s="1"/>
  <c r="V769"/>
  <c r="W769" s="1"/>
  <c r="V775"/>
  <c r="W775" s="1"/>
  <c r="W783"/>
  <c r="V696"/>
  <c r="W696" s="1"/>
  <c r="V24"/>
  <c r="W24" s="1"/>
  <c r="V421"/>
  <c r="W421" s="1"/>
  <c r="V893"/>
  <c r="W893" s="1"/>
  <c r="V896"/>
  <c r="W896" s="1"/>
  <c r="V381"/>
  <c r="W381" s="1"/>
  <c r="V687"/>
  <c r="W687" s="1"/>
  <c r="V105"/>
  <c r="W105" s="1"/>
  <c r="V475"/>
  <c r="W475" s="1"/>
  <c r="V558"/>
  <c r="W558" s="1"/>
  <c r="V739"/>
  <c r="W739" s="1"/>
  <c r="V551"/>
  <c r="W551" s="1"/>
  <c r="V15"/>
  <c r="W15" s="1"/>
  <c r="V487"/>
  <c r="W487" s="1"/>
  <c r="V572"/>
  <c r="W572" s="1"/>
  <c r="V582"/>
  <c r="W582" s="1"/>
  <c r="V605"/>
  <c r="W605" s="1"/>
  <c r="V716"/>
  <c r="W716" s="1"/>
  <c r="V697"/>
  <c r="W697" s="1"/>
  <c r="V707"/>
  <c r="W707" s="1"/>
  <c r="V22"/>
  <c r="W22" s="1"/>
  <c r="V94"/>
  <c r="W94" s="1"/>
  <c r="V386"/>
  <c r="W386" s="1"/>
  <c r="V542"/>
  <c r="W542" s="1"/>
  <c r="V766"/>
  <c r="W766" s="1"/>
  <c r="V895"/>
  <c r="W895" s="1"/>
  <c r="V263"/>
  <c r="W263" s="1"/>
  <c r="V882"/>
  <c r="W882" s="1"/>
  <c r="V153"/>
  <c r="W153" s="1"/>
  <c r="V544"/>
  <c r="W544" s="1"/>
  <c r="V190"/>
  <c r="W190" s="1"/>
  <c r="V108"/>
  <c r="W108" s="1"/>
  <c r="V388"/>
  <c r="W388" s="1"/>
  <c r="V798"/>
  <c r="W798" s="1"/>
  <c r="V439"/>
  <c r="W439" s="1"/>
  <c r="V877"/>
  <c r="W877" s="1"/>
  <c r="V472"/>
  <c r="W472" s="1"/>
  <c r="V624"/>
  <c r="W624" s="1"/>
  <c r="V470"/>
  <c r="W470" s="1"/>
  <c r="V680"/>
  <c r="W680" s="1"/>
  <c r="V327"/>
  <c r="W327" s="1"/>
  <c r="V623"/>
  <c r="W623" s="1"/>
  <c r="V333"/>
  <c r="V556"/>
  <c r="W556" s="1"/>
  <c r="V188"/>
  <c r="W188" s="1"/>
  <c r="V686"/>
  <c r="W686" s="1"/>
  <c r="V569"/>
  <c r="W569" s="1"/>
  <c r="V588"/>
  <c r="W588" s="1"/>
  <c r="V630"/>
  <c r="W630" s="1"/>
  <c r="V635"/>
  <c r="W635" s="1"/>
  <c r="V642"/>
  <c r="W642" s="1"/>
  <c r="V718"/>
  <c r="W718" s="1"/>
  <c r="V735"/>
  <c r="W735" s="1"/>
  <c r="V780"/>
  <c r="W780" s="1"/>
  <c r="V793"/>
  <c r="W793" s="1"/>
  <c r="V834"/>
  <c r="W834" s="1"/>
  <c r="V18"/>
  <c r="W18" s="1"/>
  <c r="V555"/>
  <c r="W555" s="1"/>
  <c r="V801"/>
  <c r="W801" s="1"/>
  <c r="V380"/>
  <c r="W380" s="1"/>
  <c r="V840"/>
  <c r="V481"/>
  <c r="W481" s="1"/>
  <c r="V239"/>
  <c r="W239" s="1"/>
  <c r="V248"/>
  <c r="W248" s="1"/>
  <c r="V424"/>
  <c r="W424" s="1"/>
  <c r="V549"/>
  <c r="W549" s="1"/>
  <c r="V343"/>
  <c r="W343" s="1"/>
  <c r="V334"/>
  <c r="W334" s="1"/>
  <c r="W2"/>
  <c r="V822"/>
  <c r="W822" s="1"/>
  <c r="V260"/>
  <c r="W260" s="1"/>
  <c r="V608"/>
  <c r="W608" s="1"/>
  <c r="V500"/>
  <c r="W500" s="1"/>
  <c r="V508"/>
  <c r="W508" s="1"/>
  <c r="V339"/>
  <c r="W339" s="1"/>
  <c r="V189"/>
  <c r="W189" s="1"/>
  <c r="V216"/>
  <c r="W216" s="1"/>
  <c r="V400"/>
  <c r="W400" s="1"/>
  <c r="V575"/>
  <c r="W575" s="1"/>
  <c r="V587"/>
  <c r="W587" s="1"/>
  <c r="V719"/>
  <c r="W719" s="1"/>
  <c r="V737"/>
  <c r="W737" s="1"/>
  <c r="V781"/>
  <c r="W781" s="1"/>
  <c r="V770"/>
  <c r="W770" s="1"/>
  <c r="V772"/>
  <c r="W772" s="1"/>
  <c r="V176"/>
  <c r="W176" s="1"/>
  <c r="V706"/>
  <c r="W706" s="1"/>
  <c r="V25"/>
  <c r="W25" s="1"/>
  <c r="V243"/>
  <c r="W243" s="1"/>
  <c r="V887"/>
  <c r="W887" s="1"/>
  <c r="V564"/>
  <c r="W564" s="1"/>
  <c r="V511"/>
  <c r="W511" s="1"/>
  <c r="V324"/>
  <c r="W324" s="1"/>
  <c r="V328"/>
  <c r="W328" s="1"/>
  <c r="V390"/>
  <c r="W390" s="1"/>
  <c r="V392"/>
  <c r="W392" s="1"/>
  <c r="V480"/>
  <c r="W480" s="1"/>
  <c r="Y480" s="1"/>
  <c r="V570"/>
  <c r="W570" s="1"/>
  <c r="V634"/>
  <c r="W634" s="1"/>
  <c r="V643"/>
  <c r="W643" s="1"/>
  <c r="V724"/>
  <c r="W724" s="1"/>
  <c r="V726"/>
  <c r="W726" s="1"/>
  <c r="V797"/>
  <c r="W797" s="1"/>
  <c r="V693"/>
  <c r="W693" s="1"/>
  <c r="V701"/>
  <c r="W701" s="1"/>
  <c r="V225"/>
  <c r="V175"/>
  <c r="W175" s="1"/>
  <c r="V93"/>
  <c r="W93" s="1"/>
  <c r="V547"/>
  <c r="W547" s="1"/>
  <c r="V552"/>
  <c r="W552" s="1"/>
  <c r="V890"/>
  <c r="W890" s="1"/>
  <c r="V881"/>
  <c r="W881" s="1"/>
  <c r="V859"/>
  <c r="V517"/>
  <c r="W517" s="1"/>
  <c r="V61"/>
  <c r="W61" s="1"/>
  <c r="W66"/>
  <c r="V641"/>
  <c r="W641" s="1"/>
  <c r="V205"/>
  <c r="W205" s="1"/>
  <c r="V236"/>
  <c r="W236" s="1"/>
  <c r="W320"/>
  <c r="V432"/>
  <c r="W432" s="1"/>
  <c r="J409"/>
  <c r="P367"/>
  <c r="J897"/>
  <c r="L64"/>
  <c r="L84" s="1"/>
  <c r="V139"/>
  <c r="W139" s="1"/>
  <c r="Y139" s="1"/>
  <c r="V265"/>
  <c r="W265" s="1"/>
  <c r="V160"/>
  <c r="W160" s="1"/>
  <c r="V56"/>
  <c r="W56" s="1"/>
  <c r="S819"/>
  <c r="T819" s="1"/>
  <c r="P148"/>
  <c r="Q148" s="1"/>
  <c r="S148" s="1"/>
  <c r="T148" s="1"/>
  <c r="S107"/>
  <c r="T107" s="1"/>
  <c r="P875"/>
  <c r="Q875" s="1"/>
  <c r="S875" s="1"/>
  <c r="T875" s="1"/>
  <c r="M861"/>
  <c r="M873" s="1"/>
  <c r="M754"/>
  <c r="N754" s="1"/>
  <c r="P754" s="1"/>
  <c r="Q754" s="1"/>
  <c r="P690"/>
  <c r="Q690" s="1"/>
  <c r="M684"/>
  <c r="N684" s="1"/>
  <c r="M557"/>
  <c r="N557" s="1"/>
  <c r="N37"/>
  <c r="M64"/>
  <c r="M84" s="1"/>
  <c r="M141"/>
  <c r="S540"/>
  <c r="T540" s="1"/>
  <c r="S297"/>
  <c r="T297" s="1"/>
  <c r="P257"/>
  <c r="Q257" s="1"/>
  <c r="N295"/>
  <c r="J618"/>
  <c r="M538"/>
  <c r="N721"/>
  <c r="T762"/>
  <c r="J95"/>
  <c r="J553"/>
  <c r="J162"/>
  <c r="M34"/>
  <c r="P498"/>
  <c r="Q498" s="1"/>
  <c r="S498" s="1"/>
  <c r="T498" s="1"/>
  <c r="N538"/>
  <c r="S16"/>
  <c r="T16" s="1"/>
  <c r="P230"/>
  <c r="Q230" s="1"/>
  <c r="M765"/>
  <c r="N765" s="1"/>
  <c r="P765" s="1"/>
  <c r="Q765" s="1"/>
  <c r="S765" s="1"/>
  <c r="T765" s="1"/>
  <c r="M751"/>
  <c r="N751" s="1"/>
  <c r="M685"/>
  <c r="N685" s="1"/>
  <c r="P685" s="1"/>
  <c r="Q685" s="1"/>
  <c r="M683"/>
  <c r="P670"/>
  <c r="Q670" s="1"/>
  <c r="M622"/>
  <c r="P382"/>
  <c r="Q382" s="1"/>
  <c r="N378"/>
  <c r="N409" s="1"/>
  <c r="M409"/>
  <c r="N149"/>
  <c r="P149" s="1"/>
  <c r="N869"/>
  <c r="L873"/>
  <c r="L455"/>
  <c r="J455"/>
  <c r="J468" s="1"/>
  <c r="H468"/>
  <c r="S711"/>
  <c r="T711" s="1"/>
  <c r="L371"/>
  <c r="M369"/>
  <c r="N4"/>
  <c r="P4" s="1"/>
  <c r="M5"/>
  <c r="P721"/>
  <c r="J496"/>
  <c r="J144"/>
  <c r="N496"/>
  <c r="P763"/>
  <c r="Q763" s="1"/>
  <c r="T763" s="1"/>
  <c r="M761"/>
  <c r="N761" s="1"/>
  <c r="M688"/>
  <c r="N688" s="1"/>
  <c r="P607"/>
  <c r="M562"/>
  <c r="N562" s="1"/>
  <c r="P562" s="1"/>
  <c r="Q562" s="1"/>
  <c r="S562" s="1"/>
  <c r="T562" s="1"/>
  <c r="M561"/>
  <c r="S183"/>
  <c r="T183" s="1"/>
  <c r="P170"/>
  <c r="Q170" s="1"/>
  <c r="S170" s="1"/>
  <c r="T170" s="1"/>
  <c r="M152"/>
  <c r="M162" s="1"/>
  <c r="M96"/>
  <c r="M133" s="1"/>
  <c r="L133"/>
  <c r="M95"/>
  <c r="L538"/>
  <c r="P879"/>
  <c r="Q879" s="1"/>
  <c r="N897"/>
  <c r="P757"/>
  <c r="Q757" s="1"/>
  <c r="S757" s="1"/>
  <c r="T757" s="1"/>
  <c r="S560"/>
  <c r="T560" s="1"/>
  <c r="S755"/>
  <c r="T755" s="1"/>
  <c r="N172"/>
  <c r="Q172" s="1"/>
  <c r="T172" s="1"/>
  <c r="U172" s="1"/>
  <c r="U182" s="1"/>
  <c r="L182"/>
  <c r="S228"/>
  <c r="T228" s="1"/>
  <c r="S299"/>
  <c r="T299" s="1"/>
  <c r="P874"/>
  <c r="S344"/>
  <c r="T344" s="1"/>
  <c r="L144"/>
  <c r="N140"/>
  <c r="N159"/>
  <c r="L162"/>
  <c r="L553"/>
  <c r="S610"/>
  <c r="P554"/>
  <c r="Q554" s="1"/>
  <c r="S554" s="1"/>
  <c r="P6"/>
  <c r="Q6" s="1"/>
  <c r="P839"/>
  <c r="L827"/>
  <c r="J34"/>
  <c r="S477"/>
  <c r="T477" s="1"/>
  <c r="M254"/>
  <c r="M256" s="1"/>
  <c r="N227"/>
  <c r="N600"/>
  <c r="Q595"/>
  <c r="N729"/>
  <c r="Q729" s="1"/>
  <c r="T729" s="1"/>
  <c r="U729" s="1"/>
  <c r="N692"/>
  <c r="N88"/>
  <c r="L95"/>
  <c r="Q134"/>
  <c r="N137"/>
  <c r="M550"/>
  <c r="M553" s="1"/>
  <c r="P433"/>
  <c r="Q433" s="1"/>
  <c r="Q197"/>
  <c r="T197" s="1"/>
  <c r="U197" s="1"/>
  <c r="U224" s="1"/>
  <c r="N224"/>
  <c r="P722"/>
  <c r="P750" s="1"/>
  <c r="P224"/>
  <c r="P496"/>
  <c r="Q559"/>
  <c r="S559" s="1"/>
  <c r="T880"/>
  <c r="L897"/>
  <c r="M897"/>
  <c r="L496"/>
  <c r="L430"/>
  <c r="J254"/>
  <c r="L594"/>
  <c r="Q862"/>
  <c r="L34"/>
  <c r="N10"/>
  <c r="L839"/>
  <c r="N839"/>
  <c r="M496"/>
  <c r="L254"/>
  <c r="L256" s="1"/>
  <c r="S441"/>
  <c r="T441" s="1"/>
  <c r="S41"/>
  <c r="T41" s="1"/>
  <c r="S167"/>
  <c r="T167" s="1"/>
  <c r="S759"/>
  <c r="T759" s="1"/>
  <c r="S758"/>
  <c r="T758" s="1"/>
  <c r="S878"/>
  <c r="T878" s="1"/>
  <c r="S36"/>
  <c r="T36" s="1"/>
  <c r="S802"/>
  <c r="T802" s="1"/>
  <c r="S767"/>
  <c r="T767" s="1"/>
  <c r="S760"/>
  <c r="T760" s="1"/>
  <c r="S436"/>
  <c r="S186"/>
  <c r="T186" s="1"/>
  <c r="S35"/>
  <c r="S138"/>
  <c r="T138" s="1"/>
  <c r="S438"/>
  <c r="T438" s="1"/>
  <c r="S9"/>
  <c r="T9" s="1"/>
  <c r="S13"/>
  <c r="T13" s="1"/>
  <c r="U13" s="1"/>
  <c r="S100"/>
  <c r="T100" s="1"/>
  <c r="S104"/>
  <c r="T104" s="1"/>
  <c r="S682"/>
  <c r="T682" s="1"/>
  <c r="S791"/>
  <c r="T791" s="1"/>
  <c r="S11"/>
  <c r="T11" s="1"/>
  <c r="S98"/>
  <c r="T98" s="1"/>
  <c r="S102"/>
  <c r="T102" s="1"/>
  <c r="S40"/>
  <c r="T40" s="1"/>
  <c r="S474"/>
  <c r="T474" s="1"/>
  <c r="S232"/>
  <c r="T232" s="1"/>
  <c r="S42"/>
  <c r="T42" s="1"/>
  <c r="L2" i="1"/>
  <c r="L8" s="1"/>
  <c r="L96" s="1"/>
  <c r="Q231" i="3"/>
  <c r="T860"/>
  <c r="K70" i="1"/>
  <c r="S804" i="3"/>
  <c r="T804" s="1"/>
  <c r="S301"/>
  <c r="Q319"/>
  <c r="S842"/>
  <c r="S858" s="1"/>
  <c r="Q858"/>
  <c r="Q337"/>
  <c r="Q469"/>
  <c r="T262"/>
  <c r="Q379"/>
  <c r="Q756"/>
  <c r="Q185"/>
  <c r="Q7"/>
  <c r="T226"/>
  <c r="Q501"/>
  <c r="T147"/>
  <c r="Q414"/>
  <c r="J96" i="1"/>
  <c r="W164" i="3" l="1"/>
  <c r="M2" i="1"/>
  <c r="O2" s="1"/>
  <c r="P2" s="1"/>
  <c r="U64"/>
  <c r="V64" s="1"/>
  <c r="U14"/>
  <c r="V14" s="1"/>
  <c r="U17"/>
  <c r="V17" s="1"/>
  <c r="U24"/>
  <c r="V24" s="1"/>
  <c r="U75"/>
  <c r="V75" s="1"/>
  <c r="R84"/>
  <c r="T84" s="1"/>
  <c r="V84" s="1"/>
  <c r="S3"/>
  <c r="T3" s="1"/>
  <c r="V3" s="1"/>
  <c r="S56"/>
  <c r="T56" s="1"/>
  <c r="S11"/>
  <c r="T11" s="1"/>
  <c r="S5"/>
  <c r="T5" s="1"/>
  <c r="S74"/>
  <c r="T74" s="1"/>
  <c r="V74" s="1"/>
  <c r="AE789" i="3"/>
  <c r="AF789" s="1"/>
  <c r="AE142"/>
  <c r="AF142" s="1"/>
  <c r="AE83"/>
  <c r="AF83" s="1"/>
  <c r="AE45"/>
  <c r="AF45" s="1"/>
  <c r="AE545"/>
  <c r="AF545" s="1"/>
  <c r="AE847"/>
  <c r="AF847" s="1"/>
  <c r="AE871"/>
  <c r="AF871" s="1"/>
  <c r="AE691"/>
  <c r="AF691" s="1"/>
  <c r="AE318"/>
  <c r="AF318" s="1"/>
  <c r="AE112"/>
  <c r="AF112" s="1"/>
  <c r="AE805"/>
  <c r="AF805" s="1"/>
  <c r="AE611"/>
  <c r="AF611" s="1"/>
  <c r="AE649"/>
  <c r="AF649" s="1"/>
  <c r="AE723"/>
  <c r="AF723" s="1"/>
  <c r="AE732"/>
  <c r="AF732" s="1"/>
  <c r="AE653"/>
  <c r="AF653" s="1"/>
  <c r="AE443"/>
  <c r="AF443" s="1"/>
  <c r="AE823"/>
  <c r="AF823" s="1"/>
  <c r="AE832"/>
  <c r="AF832" s="1"/>
  <c r="AE270"/>
  <c r="AF270" s="1"/>
  <c r="AE156"/>
  <c r="AF156" s="1"/>
  <c r="AE617"/>
  <c r="AF617" s="1"/>
  <c r="AE637"/>
  <c r="AF637" s="1"/>
  <c r="AE891"/>
  <c r="AF891" s="1"/>
  <c r="AE567"/>
  <c r="AF567" s="1"/>
  <c r="AE123"/>
  <c r="AF123" s="1"/>
  <c r="AE527"/>
  <c r="AF527" s="1"/>
  <c r="AE744"/>
  <c r="AF744" s="1"/>
  <c r="AE713"/>
  <c r="AF713" s="1"/>
  <c r="AE864"/>
  <c r="AF864" s="1"/>
  <c r="AE19"/>
  <c r="AF19" s="1"/>
  <c r="I898"/>
  <c r="O709"/>
  <c r="O898" s="1"/>
  <c r="K709"/>
  <c r="K898" s="1"/>
  <c r="AA538"/>
  <c r="AB740"/>
  <c r="AC740" s="1"/>
  <c r="AB866"/>
  <c r="AC866" s="1"/>
  <c r="AB734"/>
  <c r="AC734" s="1"/>
  <c r="AB888"/>
  <c r="AC888" s="1"/>
  <c r="AB892"/>
  <c r="AC892" s="1"/>
  <c r="AB749"/>
  <c r="AC749" s="1"/>
  <c r="AB747"/>
  <c r="AC747" s="1"/>
  <c r="AB748"/>
  <c r="AC748" s="1"/>
  <c r="AB865"/>
  <c r="AC865" s="1"/>
  <c r="AB733"/>
  <c r="AC733" s="1"/>
  <c r="E709"/>
  <c r="E898" s="1"/>
  <c r="AB681"/>
  <c r="AC681" s="1"/>
  <c r="AB731"/>
  <c r="AC731" s="1"/>
  <c r="AB863"/>
  <c r="AC863" s="1"/>
  <c r="AB746"/>
  <c r="AC746" s="1"/>
  <c r="AB889"/>
  <c r="AC889" s="1"/>
  <c r="AB894"/>
  <c r="AC894" s="1"/>
  <c r="U632"/>
  <c r="U657" s="1"/>
  <c r="U669" s="1"/>
  <c r="U672" s="1"/>
  <c r="H674"/>
  <c r="H678" s="1"/>
  <c r="AB725"/>
  <c r="AC725" s="1"/>
  <c r="AB745"/>
  <c r="AC745" s="1"/>
  <c r="AB870"/>
  <c r="AC870" s="1"/>
  <c r="AB743"/>
  <c r="AC743" s="1"/>
  <c r="AB867"/>
  <c r="AC867" s="1"/>
  <c r="AB885"/>
  <c r="AC885" s="1"/>
  <c r="F672"/>
  <c r="F678"/>
  <c r="F674"/>
  <c r="P626"/>
  <c r="AB742"/>
  <c r="AC742" s="1"/>
  <c r="AB872"/>
  <c r="AC872" s="1"/>
  <c r="AB727"/>
  <c r="AC727" s="1"/>
  <c r="AB886"/>
  <c r="AC886" s="1"/>
  <c r="AB738"/>
  <c r="AC738" s="1"/>
  <c r="AB741"/>
  <c r="AC741" s="1"/>
  <c r="AC640"/>
  <c r="AB90"/>
  <c r="AC90" s="1"/>
  <c r="AB638"/>
  <c r="AC638" s="1"/>
  <c r="AB631"/>
  <c r="AC631" s="1"/>
  <c r="AB654"/>
  <c r="AC654" s="1"/>
  <c r="AB646"/>
  <c r="AC646" s="1"/>
  <c r="AB621"/>
  <c r="AC621" s="1"/>
  <c r="AB633"/>
  <c r="AB91"/>
  <c r="AC91" s="1"/>
  <c r="AB639"/>
  <c r="AC639" s="1"/>
  <c r="AB645"/>
  <c r="AC645" s="1"/>
  <c r="AB625"/>
  <c r="AC625" s="1"/>
  <c r="AB636"/>
  <c r="AC636" s="1"/>
  <c r="AB648"/>
  <c r="AC648" s="1"/>
  <c r="AB86"/>
  <c r="AC86" s="1"/>
  <c r="AB628"/>
  <c r="AC628" s="1"/>
  <c r="AB89"/>
  <c r="AC89" s="1"/>
  <c r="AB627"/>
  <c r="AC627" s="1"/>
  <c r="AB85"/>
  <c r="AB644"/>
  <c r="AC644" s="1"/>
  <c r="AB655"/>
  <c r="AC655" s="1"/>
  <c r="AB374"/>
  <c r="AC374" s="1"/>
  <c r="AB237"/>
  <c r="AC237" s="1"/>
  <c r="AB853"/>
  <c r="AC853" s="1"/>
  <c r="AB209"/>
  <c r="AC209" s="1"/>
  <c r="AB714"/>
  <c r="AC714" s="1"/>
  <c r="AB212"/>
  <c r="AB202"/>
  <c r="AC202" s="1"/>
  <c r="AB845"/>
  <c r="AC845" s="1"/>
  <c r="AB699"/>
  <c r="AC699" s="1"/>
  <c r="AB251"/>
  <c r="AC251" s="1"/>
  <c r="AB217"/>
  <c r="AC217" s="1"/>
  <c r="AB203"/>
  <c r="AC203" s="1"/>
  <c r="AB843"/>
  <c r="AC843" s="1"/>
  <c r="AB844"/>
  <c r="AC844" s="1"/>
  <c r="AB851"/>
  <c r="AC851" s="1"/>
  <c r="AB207"/>
  <c r="AC207" s="1"/>
  <c r="AB184"/>
  <c r="AC184" s="1"/>
  <c r="AB597"/>
  <c r="AC597" s="1"/>
  <c r="AB852"/>
  <c r="AC852" s="1"/>
  <c r="AB208"/>
  <c r="AC208" s="1"/>
  <c r="AB855"/>
  <c r="AC855" s="1"/>
  <c r="AB704"/>
  <c r="AC704" s="1"/>
  <c r="AB613"/>
  <c r="AC613" s="1"/>
  <c r="AB596"/>
  <c r="AC596" s="1"/>
  <c r="AB615"/>
  <c r="AC615" s="1"/>
  <c r="AB241"/>
  <c r="AC241" s="1"/>
  <c r="AB848"/>
  <c r="AC848" s="1"/>
  <c r="AB849"/>
  <c r="AC849" s="1"/>
  <c r="AB695"/>
  <c r="AC695" s="1"/>
  <c r="AB247"/>
  <c r="AC247" s="1"/>
  <c r="AB242"/>
  <c r="AC242" s="1"/>
  <c r="AB598"/>
  <c r="AC598" s="1"/>
  <c r="AB250"/>
  <c r="AC250" s="1"/>
  <c r="AB249"/>
  <c r="AC249" s="1"/>
  <c r="AB204"/>
  <c r="AC204" s="1"/>
  <c r="AB854"/>
  <c r="AC854" s="1"/>
  <c r="AB850"/>
  <c r="AC850" s="1"/>
  <c r="AB702"/>
  <c r="AC702" s="1"/>
  <c r="AB210"/>
  <c r="AC210" s="1"/>
  <c r="AB609"/>
  <c r="AC609" s="1"/>
  <c r="S712"/>
  <c r="S721" s="1"/>
  <c r="AB154"/>
  <c r="AC154" s="1"/>
  <c r="J672"/>
  <c r="J674" s="1"/>
  <c r="J678" s="1"/>
  <c r="AB171"/>
  <c r="AC171" s="1"/>
  <c r="AB158"/>
  <c r="AC158" s="1"/>
  <c r="AB604"/>
  <c r="AC604" s="1"/>
  <c r="AB165"/>
  <c r="AC165" s="1"/>
  <c r="AB539"/>
  <c r="AB157"/>
  <c r="AC157" s="1"/>
  <c r="AB181"/>
  <c r="AC181" s="1"/>
  <c r="AB178"/>
  <c r="AC178" s="1"/>
  <c r="L672"/>
  <c r="AB173"/>
  <c r="AC173" s="1"/>
  <c r="AB179"/>
  <c r="AC179" s="1"/>
  <c r="AB180"/>
  <c r="AC180" s="1"/>
  <c r="AB177"/>
  <c r="AC177" s="1"/>
  <c r="AB603"/>
  <c r="AC603" s="1"/>
  <c r="AB174"/>
  <c r="AC174" s="1"/>
  <c r="AB33"/>
  <c r="AC33" s="1"/>
  <c r="AB57"/>
  <c r="AC57" s="1"/>
  <c r="AB50"/>
  <c r="AC50" s="1"/>
  <c r="AB21"/>
  <c r="AC21" s="1"/>
  <c r="AB54"/>
  <c r="AC54" s="1"/>
  <c r="AB51"/>
  <c r="AC51" s="1"/>
  <c r="AA27"/>
  <c r="AA34" s="1"/>
  <c r="AB47"/>
  <c r="AC47" s="1"/>
  <c r="AB43"/>
  <c r="AC43" s="1"/>
  <c r="AB60"/>
  <c r="AC60" s="1"/>
  <c r="AB30"/>
  <c r="AC30" s="1"/>
  <c r="AB38"/>
  <c r="AC38" s="1"/>
  <c r="AB52"/>
  <c r="AC52" s="1"/>
  <c r="AB28"/>
  <c r="AC28" s="1"/>
  <c r="AB31"/>
  <c r="AC31" s="1"/>
  <c r="AB3"/>
  <c r="AC3" s="1"/>
  <c r="AB329"/>
  <c r="AC329" s="1"/>
  <c r="AB288"/>
  <c r="AC288" s="1"/>
  <c r="AB516"/>
  <c r="AB277"/>
  <c r="AC277" s="1"/>
  <c r="AB276"/>
  <c r="AC276" s="1"/>
  <c r="AB535"/>
  <c r="AC535" s="1"/>
  <c r="AB282"/>
  <c r="AC282" s="1"/>
  <c r="AB534"/>
  <c r="AC534" s="1"/>
  <c r="AB514"/>
  <c r="AC514" s="1"/>
  <c r="AB280"/>
  <c r="AC280" s="1"/>
  <c r="AB272"/>
  <c r="AC272" s="1"/>
  <c r="AB530"/>
  <c r="AC530" s="1"/>
  <c r="AB525"/>
  <c r="AC525" s="1"/>
  <c r="AB291"/>
  <c r="AC291" s="1"/>
  <c r="AB518"/>
  <c r="AC518" s="1"/>
  <c r="AB505"/>
  <c r="AC505" s="1"/>
  <c r="AB290"/>
  <c r="AC290" s="1"/>
  <c r="AB515"/>
  <c r="AC515" s="1"/>
  <c r="AB528"/>
  <c r="AC528" s="1"/>
  <c r="AB286"/>
  <c r="AC286" s="1"/>
  <c r="AB507"/>
  <c r="AC507" s="1"/>
  <c r="AB532"/>
  <c r="AC532" s="1"/>
  <c r="AB531"/>
  <c r="AC531" s="1"/>
  <c r="AB325"/>
  <c r="AC325" s="1"/>
  <c r="AB506"/>
  <c r="AC506" s="1"/>
  <c r="AB292"/>
  <c r="AC292" s="1"/>
  <c r="AB502"/>
  <c r="AC502" s="1"/>
  <c r="AB509"/>
  <c r="AC509" s="1"/>
  <c r="AB289"/>
  <c r="AC289" s="1"/>
  <c r="AB513"/>
  <c r="AC513" s="1"/>
  <c r="AB271"/>
  <c r="AC271" s="1"/>
  <c r="AB510"/>
  <c r="AC510" s="1"/>
  <c r="AB287"/>
  <c r="AC287" s="1"/>
  <c r="AB259"/>
  <c r="AC259" s="1"/>
  <c r="AB284"/>
  <c r="AC284" s="1"/>
  <c r="AB522"/>
  <c r="AC522" s="1"/>
  <c r="AB274"/>
  <c r="AC274" s="1"/>
  <c r="AB273"/>
  <c r="AC273" s="1"/>
  <c r="AB285"/>
  <c r="AB504"/>
  <c r="AC504" s="1"/>
  <c r="AB264"/>
  <c r="AC264" s="1"/>
  <c r="AB258"/>
  <c r="AC258" s="1"/>
  <c r="AB529"/>
  <c r="AC529" s="1"/>
  <c r="AB279"/>
  <c r="AC279" s="1"/>
  <c r="AB275"/>
  <c r="AC275" s="1"/>
  <c r="AB281"/>
  <c r="AC281" s="1"/>
  <c r="AB347"/>
  <c r="AC347" s="1"/>
  <c r="AB403"/>
  <c r="AC403" s="1"/>
  <c r="AB115"/>
  <c r="AC115" s="1"/>
  <c r="AB399"/>
  <c r="AC399" s="1"/>
  <c r="AB423"/>
  <c r="AC423" s="1"/>
  <c r="AB117"/>
  <c r="AC117" s="1"/>
  <c r="AB583"/>
  <c r="AC583" s="1"/>
  <c r="AB812"/>
  <c r="AC812" s="1"/>
  <c r="AB490"/>
  <c r="AC490" s="1"/>
  <c r="AB67"/>
  <c r="AC67" s="1"/>
  <c r="AB364"/>
  <c r="AC364" s="1"/>
  <c r="AB811"/>
  <c r="AC811" s="1"/>
  <c r="AB370"/>
  <c r="AC370" s="1"/>
  <c r="AB338"/>
  <c r="AC338" s="1"/>
  <c r="AB305"/>
  <c r="AC305" s="1"/>
  <c r="AB383"/>
  <c r="AC383" s="1"/>
  <c r="AB785"/>
  <c r="AC785" s="1"/>
  <c r="AB422"/>
  <c r="AC422" s="1"/>
  <c r="AB114"/>
  <c r="AC114" s="1"/>
  <c r="AB584"/>
  <c r="AC584" s="1"/>
  <c r="AB310"/>
  <c r="AC310" s="1"/>
  <c r="AB69"/>
  <c r="AC69" s="1"/>
  <c r="AB831"/>
  <c r="AC831" s="1"/>
  <c r="AB782"/>
  <c r="AC782" s="1"/>
  <c r="AB420"/>
  <c r="AC420" s="1"/>
  <c r="AB349"/>
  <c r="AC349" s="1"/>
  <c r="AB813"/>
  <c r="AC813" s="1"/>
  <c r="AB768"/>
  <c r="AC768" s="1"/>
  <c r="AB97"/>
  <c r="AC97" s="1"/>
  <c r="AB81"/>
  <c r="AC81" s="1"/>
  <c r="AB315"/>
  <c r="AC315" s="1"/>
  <c r="AB425"/>
  <c r="AC425" s="1"/>
  <c r="AB368"/>
  <c r="AB357"/>
  <c r="AB779"/>
  <c r="AC779" s="1"/>
  <c r="AB121"/>
  <c r="AC121" s="1"/>
  <c r="AB391"/>
  <c r="AC391" s="1"/>
  <c r="AB573"/>
  <c r="AC573" s="1"/>
  <c r="AE573" s="1"/>
  <c r="AF573" s="1"/>
  <c r="AB809"/>
  <c r="AC809" s="1"/>
  <c r="AB488"/>
  <c r="AC488" s="1"/>
  <c r="AB787"/>
  <c r="AC787" s="1"/>
  <c r="AB426"/>
  <c r="AC426" s="1"/>
  <c r="AB351"/>
  <c r="AC351" s="1"/>
  <c r="AB774"/>
  <c r="AC774" s="1"/>
  <c r="AB314"/>
  <c r="AC314" s="1"/>
  <c r="AB412"/>
  <c r="AB82"/>
  <c r="AC82" s="1"/>
  <c r="AB311"/>
  <c r="AC311" s="1"/>
  <c r="AB406"/>
  <c r="AC406" s="1"/>
  <c r="AB419"/>
  <c r="AC419" s="1"/>
  <c r="AB799"/>
  <c r="AC799" s="1"/>
  <c r="AB563"/>
  <c r="AC563" s="1"/>
  <c r="AB120"/>
  <c r="AB393"/>
  <c r="AC393" s="1"/>
  <c r="AB308"/>
  <c r="AC308" s="1"/>
  <c r="AB404"/>
  <c r="AC404" s="1"/>
  <c r="AB764"/>
  <c r="AC764" s="1"/>
  <c r="AB571"/>
  <c r="AC571" s="1"/>
  <c r="AB353"/>
  <c r="AC353" s="1"/>
  <c r="AB776"/>
  <c r="AC776" s="1"/>
  <c r="AB316"/>
  <c r="AC316" s="1"/>
  <c r="AB119"/>
  <c r="AC119" s="1"/>
  <c r="AB80"/>
  <c r="AC80" s="1"/>
  <c r="AB307"/>
  <c r="AC307" s="1"/>
  <c r="AB363"/>
  <c r="AC363" s="1"/>
  <c r="Z256"/>
  <c r="AC255"/>
  <c r="AB478"/>
  <c r="AC478" s="1"/>
  <c r="AB580"/>
  <c r="AC580" s="1"/>
  <c r="AB471"/>
  <c r="AC471" s="1"/>
  <c r="AB118"/>
  <c r="AC118" s="1"/>
  <c r="AB579"/>
  <c r="AC579" s="1"/>
  <c r="AB312"/>
  <c r="AC312" s="1"/>
  <c r="AB824"/>
  <c r="AC824" s="1"/>
  <c r="AB356"/>
  <c r="AC356" s="1"/>
  <c r="AB825"/>
  <c r="AC825" s="1"/>
  <c r="AB778"/>
  <c r="AC778" s="1"/>
  <c r="AB77"/>
  <c r="AC77" s="1"/>
  <c r="AB359"/>
  <c r="AC359" s="1"/>
  <c r="AB387"/>
  <c r="AC387" s="1"/>
  <c r="AB396"/>
  <c r="AC396" s="1"/>
  <c r="AB313"/>
  <c r="AC313" s="1"/>
  <c r="AB389"/>
  <c r="AC389" s="1"/>
  <c r="AB807"/>
  <c r="AC807" s="1"/>
  <c r="AB397"/>
  <c r="AB348"/>
  <c r="AC348" s="1"/>
  <c r="AB792"/>
  <c r="AC792" s="1"/>
  <c r="AB358"/>
  <c r="AC358" s="1"/>
  <c r="AB784"/>
  <c r="AC784" s="1"/>
  <c r="AB479"/>
  <c r="AC479" s="1"/>
  <c r="AB70"/>
  <c r="AC70" s="1"/>
  <c r="AB116"/>
  <c r="AC116" s="1"/>
  <c r="AB354"/>
  <c r="AC354" s="1"/>
  <c r="AB493"/>
  <c r="AC493" s="1"/>
  <c r="P295"/>
  <c r="Z146"/>
  <c r="AB145"/>
  <c r="AB146" s="1"/>
  <c r="AB590"/>
  <c r="AC590" s="1"/>
  <c r="AB589"/>
  <c r="AC589" s="1"/>
  <c r="AB585"/>
  <c r="AC585" s="1"/>
  <c r="AB771"/>
  <c r="AC771" s="1"/>
  <c r="AB395"/>
  <c r="AC395" s="1"/>
  <c r="AB71"/>
  <c r="AC71" s="1"/>
  <c r="AB360"/>
  <c r="AC360" s="1"/>
  <c r="AB806"/>
  <c r="AC806" s="1"/>
  <c r="AB483"/>
  <c r="AC483" s="1"/>
  <c r="AB417"/>
  <c r="AC417" s="1"/>
  <c r="AB365"/>
  <c r="AC365" s="1"/>
  <c r="AB68"/>
  <c r="AC68" s="1"/>
  <c r="AB350"/>
  <c r="AC350" s="1"/>
  <c r="AB586"/>
  <c r="AC586" s="1"/>
  <c r="AB803"/>
  <c r="AC803" s="1"/>
  <c r="AB361"/>
  <c r="AC361" s="1"/>
  <c r="AB800"/>
  <c r="AC800" s="1"/>
  <c r="AB113"/>
  <c r="AC113" s="1"/>
  <c r="AB578"/>
  <c r="AC578" s="1"/>
  <c r="AB577"/>
  <c r="AC577" s="1"/>
  <c r="AB814"/>
  <c r="AC814" s="1"/>
  <c r="AB79"/>
  <c r="AC79" s="1"/>
  <c r="AB786"/>
  <c r="AC786" s="1"/>
  <c r="AB820"/>
  <c r="AC820" s="1"/>
  <c r="AB362"/>
  <c r="AC362" s="1"/>
  <c r="AB808"/>
  <c r="AC808" s="1"/>
  <c r="AB581"/>
  <c r="AC581" s="1"/>
  <c r="AB345"/>
  <c r="AC345" s="1"/>
  <c r="AB574"/>
  <c r="AC574" s="1"/>
  <c r="AB460"/>
  <c r="AC460" s="1"/>
  <c r="AC454"/>
  <c r="AB447"/>
  <c r="AC447" s="1"/>
  <c r="AB446"/>
  <c r="AC446" s="1"/>
  <c r="AB457"/>
  <c r="AC457" s="1"/>
  <c r="AB452"/>
  <c r="AC452" s="1"/>
  <c r="AB462"/>
  <c r="AC462" s="1"/>
  <c r="AB458"/>
  <c r="AC458" s="1"/>
  <c r="AB434"/>
  <c r="AC434" s="1"/>
  <c r="AB465"/>
  <c r="AC465" s="1"/>
  <c r="AB442"/>
  <c r="AC442" s="1"/>
  <c r="AB456"/>
  <c r="AC456" s="1"/>
  <c r="Q73" i="1"/>
  <c r="Q76" s="1"/>
  <c r="R76" s="1"/>
  <c r="Z214" i="3"/>
  <c r="Z55"/>
  <c r="M657"/>
  <c r="V602"/>
  <c r="V606" s="1"/>
  <c r="Y555"/>
  <c r="Z555" s="1"/>
  <c r="Y834"/>
  <c r="Z834" s="1"/>
  <c r="Y780"/>
  <c r="Z780" s="1"/>
  <c r="Y718"/>
  <c r="Z718" s="1"/>
  <c r="Y642"/>
  <c r="Z642" s="1"/>
  <c r="Y630"/>
  <c r="Z630" s="1"/>
  <c r="Y569"/>
  <c r="Z569" s="1"/>
  <c r="Y686"/>
  <c r="Z686" s="1"/>
  <c r="Y168"/>
  <c r="Z168" s="1"/>
  <c r="Y327"/>
  <c r="Z327" s="1"/>
  <c r="Y680"/>
  <c r="Z680" s="1"/>
  <c r="Y624"/>
  <c r="Z624" s="1"/>
  <c r="Y472"/>
  <c r="Z472" s="1"/>
  <c r="Y798"/>
  <c r="Z798" s="1"/>
  <c r="Y108"/>
  <c r="Z108" s="1"/>
  <c r="Y544"/>
  <c r="Z544" s="1"/>
  <c r="Y153"/>
  <c r="Z153" s="1"/>
  <c r="Y882"/>
  <c r="Z882" s="1"/>
  <c r="Y895"/>
  <c r="Z895" s="1"/>
  <c r="AB895" s="1"/>
  <c r="Y103"/>
  <c r="Z103" s="1"/>
  <c r="Y542"/>
  <c r="Z542" s="1"/>
  <c r="Y22"/>
  <c r="Z22" s="1"/>
  <c r="Y697"/>
  <c r="Z697" s="1"/>
  <c r="Y605"/>
  <c r="Z605" s="1"/>
  <c r="Y572"/>
  <c r="Z572" s="1"/>
  <c r="Y298"/>
  <c r="Z298" s="1"/>
  <c r="Y551"/>
  <c r="Z551" s="1"/>
  <c r="Y558"/>
  <c r="Z558" s="1"/>
  <c r="Y105"/>
  <c r="Z105" s="1"/>
  <c r="Y381"/>
  <c r="Z381" s="1"/>
  <c r="Y893"/>
  <c r="Z893" s="1"/>
  <c r="Y696"/>
  <c r="Z696" s="1"/>
  <c r="Y775"/>
  <c r="Z775" s="1"/>
  <c r="Y492"/>
  <c r="Z492" s="1"/>
  <c r="Y330"/>
  <c r="Z330" s="1"/>
  <c r="Y620"/>
  <c r="Z620" s="1"/>
  <c r="Y418"/>
  <c r="Z418" s="1"/>
  <c r="Y402"/>
  <c r="Z402" s="1"/>
  <c r="Y817"/>
  <c r="Z817" s="1"/>
  <c r="Y566"/>
  <c r="Z566" s="1"/>
  <c r="Y385"/>
  <c r="Z385" s="1"/>
  <c r="Y229"/>
  <c r="Z229" s="1"/>
  <c r="Y244"/>
  <c r="Z244" s="1"/>
  <c r="Y92"/>
  <c r="Z92" s="1"/>
  <c r="Y705"/>
  <c r="Z705" s="1"/>
  <c r="Y698"/>
  <c r="Z698" s="1"/>
  <c r="Y777"/>
  <c r="Z777" s="1"/>
  <c r="Y717"/>
  <c r="Z717" s="1"/>
  <c r="Y491"/>
  <c r="Z491" s="1"/>
  <c r="Y211"/>
  <c r="Z211" s="1"/>
  <c r="Y836"/>
  <c r="Z836" s="1"/>
  <c r="Y728"/>
  <c r="Z728" s="1"/>
  <c r="Y715"/>
  <c r="Z715" s="1"/>
  <c r="Y647"/>
  <c r="Z647" s="1"/>
  <c r="Y576"/>
  <c r="Z576" s="1"/>
  <c r="Y459"/>
  <c r="Z459" s="1"/>
  <c r="Y451"/>
  <c r="Z451" s="1"/>
  <c r="Y445"/>
  <c r="Z445" s="1"/>
  <c r="Y401"/>
  <c r="Z401" s="1"/>
  <c r="Y415"/>
  <c r="Z415" s="1"/>
  <c r="Y49"/>
  <c r="Z49" s="1"/>
  <c r="Y342"/>
  <c r="Z342" s="1"/>
  <c r="Y12"/>
  <c r="Z12" s="1"/>
  <c r="Y619"/>
  <c r="Z619" s="1"/>
  <c r="Y58"/>
  <c r="Z58" s="1"/>
  <c r="Y341"/>
  <c r="Z341" s="1"/>
  <c r="Y20"/>
  <c r="Z20" s="1"/>
  <c r="Y44"/>
  <c r="Z44" s="1"/>
  <c r="Y164"/>
  <c r="Z164" s="1"/>
  <c r="Y306"/>
  <c r="Z306" s="1"/>
  <c r="Y283"/>
  <c r="Z283" s="1"/>
  <c r="Y599"/>
  <c r="Z599" s="1"/>
  <c r="Y694"/>
  <c r="Z694" s="1"/>
  <c r="Y846"/>
  <c r="Z846" s="1"/>
  <c r="Y340"/>
  <c r="Z340" s="1"/>
  <c r="Y160"/>
  <c r="Z160" s="1"/>
  <c r="Y432"/>
  <c r="Z432" s="1"/>
  <c r="Y236"/>
  <c r="Z236" s="1"/>
  <c r="Y641"/>
  <c r="Z641" s="1"/>
  <c r="Y61"/>
  <c r="Z61" s="1"/>
  <c r="Y890"/>
  <c r="Z890" s="1"/>
  <c r="Y547"/>
  <c r="Z547" s="1"/>
  <c r="Y93"/>
  <c r="Z93" s="1"/>
  <c r="Y693"/>
  <c r="Z693" s="1"/>
  <c r="Y726"/>
  <c r="Z726" s="1"/>
  <c r="Y643"/>
  <c r="Z643" s="1"/>
  <c r="Z480"/>
  <c r="Y390"/>
  <c r="Z390" s="1"/>
  <c r="Y324"/>
  <c r="Z324" s="1"/>
  <c r="Y564"/>
  <c r="Z564" s="1"/>
  <c r="Y243"/>
  <c r="Z243" s="1"/>
  <c r="Y706"/>
  <c r="Z706" s="1"/>
  <c r="Y770"/>
  <c r="Z770" s="1"/>
  <c r="Y737"/>
  <c r="Z737" s="1"/>
  <c r="Y587"/>
  <c r="Z587" s="1"/>
  <c r="Y400"/>
  <c r="Z400" s="1"/>
  <c r="Y189"/>
  <c r="Z189" s="1"/>
  <c r="Y508"/>
  <c r="Z508" s="1"/>
  <c r="Y608"/>
  <c r="Z608" s="1"/>
  <c r="Y822"/>
  <c r="Z822" s="1"/>
  <c r="Y343"/>
  <c r="Z343" s="1"/>
  <c r="Y549"/>
  <c r="Z549" s="1"/>
  <c r="Y248"/>
  <c r="Z248" s="1"/>
  <c r="Y481"/>
  <c r="Z481" s="1"/>
  <c r="Y56"/>
  <c r="Z56" s="1"/>
  <c r="Y265"/>
  <c r="Z265" s="1"/>
  <c r="Y320"/>
  <c r="Y205"/>
  <c r="Z205" s="1"/>
  <c r="Y66"/>
  <c r="Z66" s="1"/>
  <c r="Y517"/>
  <c r="Z517" s="1"/>
  <c r="Y881"/>
  <c r="Z881" s="1"/>
  <c r="Y552"/>
  <c r="Z552" s="1"/>
  <c r="AB552" s="1"/>
  <c r="Y175"/>
  <c r="Z175" s="1"/>
  <c r="Y701"/>
  <c r="Z701" s="1"/>
  <c r="Y797"/>
  <c r="Z797" s="1"/>
  <c r="Y724"/>
  <c r="Z724" s="1"/>
  <c r="Y634"/>
  <c r="Z634" s="1"/>
  <c r="Y570"/>
  <c r="Z570" s="1"/>
  <c r="Y392"/>
  <c r="Z392" s="1"/>
  <c r="Y328"/>
  <c r="Z328" s="1"/>
  <c r="Y511"/>
  <c r="Z511" s="1"/>
  <c r="Y887"/>
  <c r="Z887" s="1"/>
  <c r="Y25"/>
  <c r="Z25" s="1"/>
  <c r="Y176"/>
  <c r="Z176" s="1"/>
  <c r="Y772"/>
  <c r="Z772" s="1"/>
  <c r="Y781"/>
  <c r="Z781" s="1"/>
  <c r="Y719"/>
  <c r="Z719" s="1"/>
  <c r="Y575"/>
  <c r="Z575" s="1"/>
  <c r="Y216"/>
  <c r="Z216" s="1"/>
  <c r="Y339"/>
  <c r="Z339" s="1"/>
  <c r="Y500"/>
  <c r="Z500" s="1"/>
  <c r="Y260"/>
  <c r="Z260" s="1"/>
  <c r="Y334"/>
  <c r="Z334" s="1"/>
  <c r="Y424"/>
  <c r="Z424" s="1"/>
  <c r="Y239"/>
  <c r="Z239" s="1"/>
  <c r="Y380"/>
  <c r="Z380" s="1"/>
  <c r="Y801"/>
  <c r="Z801" s="1"/>
  <c r="Y18"/>
  <c r="Z18" s="1"/>
  <c r="Y793"/>
  <c r="Z793" s="1"/>
  <c r="Y735"/>
  <c r="Z735" s="1"/>
  <c r="Y635"/>
  <c r="Z635" s="1"/>
  <c r="Y588"/>
  <c r="Z588" s="1"/>
  <c r="Y188"/>
  <c r="Z188" s="1"/>
  <c r="Y556"/>
  <c r="Z556" s="1"/>
  <c r="Y623"/>
  <c r="Z623" s="1"/>
  <c r="Y470"/>
  <c r="Z470" s="1"/>
  <c r="Y877"/>
  <c r="Z877" s="1"/>
  <c r="Y439"/>
  <c r="Z439" s="1"/>
  <c r="Y388"/>
  <c r="Z388" s="1"/>
  <c r="Y190"/>
  <c r="Z190" s="1"/>
  <c r="Y263"/>
  <c r="Z263" s="1"/>
  <c r="Y766"/>
  <c r="Z766" s="1"/>
  <c r="Y386"/>
  <c r="Z386" s="1"/>
  <c r="Y94"/>
  <c r="Z94" s="1"/>
  <c r="Y707"/>
  <c r="Z707" s="1"/>
  <c r="Y716"/>
  <c r="Z716" s="1"/>
  <c r="Y582"/>
  <c r="Z582" s="1"/>
  <c r="Y487"/>
  <c r="Z487" s="1"/>
  <c r="Y15"/>
  <c r="Z15" s="1"/>
  <c r="Y739"/>
  <c r="Z739" s="1"/>
  <c r="Y475"/>
  <c r="Z475" s="1"/>
  <c r="Y687"/>
  <c r="Z687" s="1"/>
  <c r="Y896"/>
  <c r="Z896" s="1"/>
  <c r="Y421"/>
  <c r="Z421" s="1"/>
  <c r="Y24"/>
  <c r="Z24" s="1"/>
  <c r="Y783"/>
  <c r="Z783" s="1"/>
  <c r="Y769"/>
  <c r="Z769" s="1"/>
  <c r="Y321"/>
  <c r="Z321" s="1"/>
  <c r="Y841"/>
  <c r="Z841" s="1"/>
  <c r="Y689"/>
  <c r="Z689" s="1"/>
  <c r="Y876"/>
  <c r="Z876" s="1"/>
  <c r="Y503"/>
  <c r="Z503" s="1"/>
  <c r="Y384"/>
  <c r="Z384" s="1"/>
  <c r="Y524"/>
  <c r="Z524" s="1"/>
  <c r="Y99"/>
  <c r="Z99" s="1"/>
  <c r="Y246"/>
  <c r="Z246" s="1"/>
  <c r="Y240"/>
  <c r="Z240" s="1"/>
  <c r="Y26"/>
  <c r="Z26" s="1"/>
  <c r="Y703"/>
  <c r="Z703" s="1"/>
  <c r="Y788"/>
  <c r="Z788" s="1"/>
  <c r="Y773"/>
  <c r="Z773" s="1"/>
  <c r="Y652"/>
  <c r="Z652" s="1"/>
  <c r="Y482"/>
  <c r="Z482" s="1"/>
  <c r="Y821"/>
  <c r="Z821" s="1"/>
  <c r="Y431"/>
  <c r="Z431" s="1"/>
  <c r="Y736"/>
  <c r="Z736" s="1"/>
  <c r="Y720"/>
  <c r="Z720" s="1"/>
  <c r="Y489"/>
  <c r="Z489" s="1"/>
  <c r="Y453"/>
  <c r="Z453" s="1"/>
  <c r="Y449"/>
  <c r="Z449" s="1"/>
  <c r="Y405"/>
  <c r="Z405" s="1"/>
  <c r="Y398"/>
  <c r="Z398" s="1"/>
  <c r="Y213"/>
  <c r="Z213" s="1"/>
  <c r="Y372"/>
  <c r="Z372" s="1"/>
  <c r="Y122"/>
  <c r="Z122" s="1"/>
  <c r="Y266"/>
  <c r="Z266" s="1"/>
  <c r="Y346"/>
  <c r="Z346" s="1"/>
  <c r="Y269"/>
  <c r="Z269" s="1"/>
  <c r="Y106"/>
  <c r="Z106" s="1"/>
  <c r="Y601"/>
  <c r="Y261"/>
  <c r="Z261" s="1"/>
  <c r="Y48"/>
  <c r="Z48" s="1"/>
  <c r="Y300"/>
  <c r="Z300" s="1"/>
  <c r="Y476"/>
  <c r="Z476" s="1"/>
  <c r="Y309"/>
  <c r="Z309" s="1"/>
  <c r="Y440"/>
  <c r="Z440" s="1"/>
  <c r="Y352"/>
  <c r="Z352" s="1"/>
  <c r="Y463"/>
  <c r="Z463" s="1"/>
  <c r="Y336"/>
  <c r="Z336" s="1"/>
  <c r="Y651"/>
  <c r="Z651" s="1"/>
  <c r="Y612"/>
  <c r="Z612" s="1"/>
  <c r="Y497"/>
  <c r="Z497" s="1"/>
  <c r="Y14"/>
  <c r="Z14" s="1"/>
  <c r="Y101"/>
  <c r="Z101" s="1"/>
  <c r="Y32"/>
  <c r="Z32" s="1"/>
  <c r="Y523"/>
  <c r="Z523" s="1"/>
  <c r="Y2"/>
  <c r="G96" i="1"/>
  <c r="K7"/>
  <c r="I95"/>
  <c r="K94"/>
  <c r="K10"/>
  <c r="M9"/>
  <c r="M81"/>
  <c r="K87"/>
  <c r="K15"/>
  <c r="I65"/>
  <c r="K90"/>
  <c r="I92"/>
  <c r="K92" s="1"/>
  <c r="M92" s="1"/>
  <c r="V752" i="3"/>
  <c r="W752" s="1"/>
  <c r="T554"/>
  <c r="V554" s="1"/>
  <c r="W554" s="1"/>
  <c r="N332"/>
  <c r="N430"/>
  <c r="S435"/>
  <c r="T435" s="1"/>
  <c r="V435" s="1"/>
  <c r="W435" s="1"/>
  <c r="U34"/>
  <c r="L750"/>
  <c r="P538"/>
  <c r="P468"/>
  <c r="N5"/>
  <c r="U730"/>
  <c r="V730" s="1"/>
  <c r="W730" s="1"/>
  <c r="L606"/>
  <c r="L618" s="1"/>
  <c r="U468"/>
  <c r="Q149"/>
  <c r="S149" s="1"/>
  <c r="W65"/>
  <c r="V84"/>
  <c r="P182"/>
  <c r="P430"/>
  <c r="V163"/>
  <c r="W163" s="1"/>
  <c r="V375"/>
  <c r="Q722"/>
  <c r="S722" s="1"/>
  <c r="S750" s="1"/>
  <c r="M827"/>
  <c r="N152"/>
  <c r="P152" s="1"/>
  <c r="Q152" s="1"/>
  <c r="S152" s="1"/>
  <c r="T152" s="1"/>
  <c r="V152" s="1"/>
  <c r="W152" s="1"/>
  <c r="J256"/>
  <c r="M144"/>
  <c r="M146"/>
  <c r="V228"/>
  <c r="W228" s="1"/>
  <c r="V540"/>
  <c r="W540" s="1"/>
  <c r="V98"/>
  <c r="W98" s="1"/>
  <c r="V757"/>
  <c r="W757" s="1"/>
  <c r="V297"/>
  <c r="W297" s="1"/>
  <c r="V150"/>
  <c r="W150" s="1"/>
  <c r="V42"/>
  <c r="W42" s="1"/>
  <c r="V499"/>
  <c r="W499" s="1"/>
  <c r="V474"/>
  <c r="W474" s="1"/>
  <c r="V416"/>
  <c r="W416" s="1"/>
  <c r="V753"/>
  <c r="W753" s="1"/>
  <c r="V682"/>
  <c r="W682" s="1"/>
  <c r="V104"/>
  <c r="W104" s="1"/>
  <c r="V13"/>
  <c r="W13" s="1"/>
  <c r="V438"/>
  <c r="W438" s="1"/>
  <c r="V186"/>
  <c r="W186" s="1"/>
  <c r="V760"/>
  <c r="W760" s="1"/>
  <c r="V767"/>
  <c r="W767" s="1"/>
  <c r="V802"/>
  <c r="W802" s="1"/>
  <c r="V878"/>
  <c r="W878" s="1"/>
  <c r="V758"/>
  <c r="W758" s="1"/>
  <c r="V759"/>
  <c r="W759" s="1"/>
  <c r="V167"/>
  <c r="W167" s="1"/>
  <c r="V41"/>
  <c r="W41" s="1"/>
  <c r="V880"/>
  <c r="W880" s="1"/>
  <c r="V729"/>
  <c r="W729" s="1"/>
  <c r="V477"/>
  <c r="W477" s="1"/>
  <c r="V344"/>
  <c r="W344" s="1"/>
  <c r="V299"/>
  <c r="W299" s="1"/>
  <c r="V755"/>
  <c r="W755" s="1"/>
  <c r="V183"/>
  <c r="V562"/>
  <c r="W562" s="1"/>
  <c r="V711"/>
  <c r="W711" s="1"/>
  <c r="V16"/>
  <c r="W16" s="1"/>
  <c r="V498"/>
  <c r="V762"/>
  <c r="W762" s="1"/>
  <c r="V875"/>
  <c r="W875" s="1"/>
  <c r="V107"/>
  <c r="W107" s="1"/>
  <c r="N622"/>
  <c r="W375"/>
  <c r="V11"/>
  <c r="W11" s="1"/>
  <c r="V147"/>
  <c r="W147" s="1"/>
  <c r="V226"/>
  <c r="W226" s="1"/>
  <c r="V262"/>
  <c r="W262" s="1"/>
  <c r="V151"/>
  <c r="W151" s="1"/>
  <c r="V804"/>
  <c r="W804" s="1"/>
  <c r="V860"/>
  <c r="W860" s="1"/>
  <c r="V232"/>
  <c r="W232" s="1"/>
  <c r="V40"/>
  <c r="W40" s="1"/>
  <c r="V102"/>
  <c r="W102" s="1"/>
  <c r="V791"/>
  <c r="W791" s="1"/>
  <c r="V830"/>
  <c r="W830" s="1"/>
  <c r="V437"/>
  <c r="W437" s="1"/>
  <c r="V100"/>
  <c r="W100" s="1"/>
  <c r="V9"/>
  <c r="W9" s="1"/>
  <c r="V138"/>
  <c r="V473"/>
  <c r="W473" s="1"/>
  <c r="V36"/>
  <c r="W36" s="1"/>
  <c r="V441"/>
  <c r="W441" s="1"/>
  <c r="V197"/>
  <c r="W197" s="1"/>
  <c r="V377"/>
  <c r="W377" s="1"/>
  <c r="V172"/>
  <c r="W172" s="1"/>
  <c r="V560"/>
  <c r="W560" s="1"/>
  <c r="V170"/>
  <c r="W170" s="1"/>
  <c r="V763"/>
  <c r="W763" s="1"/>
  <c r="V765"/>
  <c r="W765" s="1"/>
  <c r="V148"/>
  <c r="W148" s="1"/>
  <c r="V819"/>
  <c r="W819" s="1"/>
  <c r="W859"/>
  <c r="W225"/>
  <c r="W828"/>
  <c r="W840"/>
  <c r="W333"/>
  <c r="W411"/>
  <c r="W296"/>
  <c r="P557"/>
  <c r="Q557" s="1"/>
  <c r="S557" s="1"/>
  <c r="T557" s="1"/>
  <c r="S690"/>
  <c r="T690" s="1"/>
  <c r="P684"/>
  <c r="Q684" s="1"/>
  <c r="S684" s="1"/>
  <c r="T684" s="1"/>
  <c r="S754"/>
  <c r="T754" s="1"/>
  <c r="N64"/>
  <c r="N84" s="1"/>
  <c r="P37"/>
  <c r="S257"/>
  <c r="S295" s="1"/>
  <c r="Q295"/>
  <c r="P95"/>
  <c r="M594"/>
  <c r="M606" s="1"/>
  <c r="M618" s="1"/>
  <c r="N141"/>
  <c r="Q141" s="1"/>
  <c r="T141" s="1"/>
  <c r="N861"/>
  <c r="P861" s="1"/>
  <c r="P761"/>
  <c r="Q761" s="1"/>
  <c r="S761" s="1"/>
  <c r="T761" s="1"/>
  <c r="P688"/>
  <c r="Q688" s="1"/>
  <c r="Q4"/>
  <c r="Q5" s="1"/>
  <c r="P5"/>
  <c r="S382"/>
  <c r="T382" s="1"/>
  <c r="S670"/>
  <c r="S685"/>
  <c r="T685" s="1"/>
  <c r="P751"/>
  <c r="Q751" s="1"/>
  <c r="S230"/>
  <c r="T230" s="1"/>
  <c r="M371"/>
  <c r="N369"/>
  <c r="N455"/>
  <c r="L468"/>
  <c r="Q869"/>
  <c r="T869" s="1"/>
  <c r="U869" s="1"/>
  <c r="U873" s="1"/>
  <c r="P378"/>
  <c r="P409" s="1"/>
  <c r="P553"/>
  <c r="Q538"/>
  <c r="S319"/>
  <c r="T559"/>
  <c r="T610"/>
  <c r="P897"/>
  <c r="N96"/>
  <c r="N561"/>
  <c r="Q607"/>
  <c r="N683"/>
  <c r="S8"/>
  <c r="T8" s="1"/>
  <c r="S433"/>
  <c r="T433" s="1"/>
  <c r="S413"/>
  <c r="T413" s="1"/>
  <c r="P10"/>
  <c r="S862"/>
  <c r="N827"/>
  <c r="Q88"/>
  <c r="Q140"/>
  <c r="S879"/>
  <c r="T879" s="1"/>
  <c r="N34"/>
  <c r="T134"/>
  <c r="T137" s="1"/>
  <c r="Q137"/>
  <c r="Q692"/>
  <c r="T595"/>
  <c r="Q600"/>
  <c r="P227"/>
  <c r="N254"/>
  <c r="N256" s="1"/>
  <c r="S6"/>
  <c r="T6" s="1"/>
  <c r="Q159"/>
  <c r="T159" s="1"/>
  <c r="U159" s="1"/>
  <c r="U162" s="1"/>
  <c r="S541"/>
  <c r="T541" s="1"/>
  <c r="N182"/>
  <c r="T301"/>
  <c r="T319" s="1"/>
  <c r="N750"/>
  <c r="N550"/>
  <c r="Q874"/>
  <c r="S231"/>
  <c r="T231" s="1"/>
  <c r="S332"/>
  <c r="Q332"/>
  <c r="S414"/>
  <c r="T414" s="1"/>
  <c r="Q430"/>
  <c r="S7"/>
  <c r="T7" s="1"/>
  <c r="S756"/>
  <c r="S379"/>
  <c r="Q496"/>
  <c r="S469"/>
  <c r="S496" s="1"/>
  <c r="S337"/>
  <c r="S367" s="1"/>
  <c r="Q367"/>
  <c r="S501"/>
  <c r="T501" s="1"/>
  <c r="S185"/>
  <c r="S224" s="1"/>
  <c r="Q224"/>
  <c r="H7" i="2"/>
  <c r="M70" i="1"/>
  <c r="K80"/>
  <c r="Q166" i="3"/>
  <c r="T842"/>
  <c r="T829"/>
  <c r="T35"/>
  <c r="T436"/>
  <c r="U5" i="1" l="1"/>
  <c r="V5" s="1"/>
  <c r="U56"/>
  <c r="V56" s="1"/>
  <c r="U11"/>
  <c r="V11" s="1"/>
  <c r="S65"/>
  <c r="AE792" i="3"/>
  <c r="AF792" s="1"/>
  <c r="T712"/>
  <c r="V712" s="1"/>
  <c r="V721" s="1"/>
  <c r="AE434"/>
  <c r="AF434" s="1"/>
  <c r="AE452"/>
  <c r="AF452" s="1"/>
  <c r="AE447"/>
  <c r="AF447" s="1"/>
  <c r="AE345"/>
  <c r="AF345" s="1"/>
  <c r="AE820"/>
  <c r="AF820" s="1"/>
  <c r="AE814"/>
  <c r="AF814" s="1"/>
  <c r="AE800"/>
  <c r="AF800" s="1"/>
  <c r="AE350"/>
  <c r="AF350" s="1"/>
  <c r="AE483"/>
  <c r="AF483" s="1"/>
  <c r="AE395"/>
  <c r="AF395" s="1"/>
  <c r="AE590"/>
  <c r="AF590" s="1"/>
  <c r="AE493"/>
  <c r="AF493" s="1"/>
  <c r="AE479"/>
  <c r="AF479" s="1"/>
  <c r="AE389"/>
  <c r="AF389" s="1"/>
  <c r="AE359"/>
  <c r="AF359" s="1"/>
  <c r="AE356"/>
  <c r="AF356" s="1"/>
  <c r="AE118"/>
  <c r="AF118" s="1"/>
  <c r="AE80"/>
  <c r="AF80" s="1"/>
  <c r="AE764"/>
  <c r="AF764" s="1"/>
  <c r="AE406"/>
  <c r="AF406" s="1"/>
  <c r="AE314"/>
  <c r="AF314" s="1"/>
  <c r="AE426"/>
  <c r="AF426" s="1"/>
  <c r="AE779"/>
  <c r="AF779" s="1"/>
  <c r="AE315"/>
  <c r="AF315" s="1"/>
  <c r="AE813"/>
  <c r="AF813" s="1"/>
  <c r="AE831"/>
  <c r="AF831" s="1"/>
  <c r="AE114"/>
  <c r="AF114" s="1"/>
  <c r="AE305"/>
  <c r="AF305" s="1"/>
  <c r="AE67"/>
  <c r="AF67" s="1"/>
  <c r="AE117"/>
  <c r="AF117" s="1"/>
  <c r="AE403"/>
  <c r="AF403" s="1"/>
  <c r="AE279"/>
  <c r="AF279" s="1"/>
  <c r="AE264"/>
  <c r="AF264" s="1"/>
  <c r="AE274"/>
  <c r="AF274" s="1"/>
  <c r="AE287"/>
  <c r="AF287" s="1"/>
  <c r="AE513"/>
  <c r="AF513" s="1"/>
  <c r="AE292"/>
  <c r="AF292" s="1"/>
  <c r="AE532"/>
  <c r="AF532" s="1"/>
  <c r="AE515"/>
  <c r="AF515" s="1"/>
  <c r="AE291"/>
  <c r="AF291" s="1"/>
  <c r="AE272"/>
  <c r="AF272" s="1"/>
  <c r="AE282"/>
  <c r="AF282" s="1"/>
  <c r="AE50"/>
  <c r="AF50" s="1"/>
  <c r="AE603"/>
  <c r="AF603" s="1"/>
  <c r="AE173"/>
  <c r="AF173" s="1"/>
  <c r="AE157"/>
  <c r="AF157" s="1"/>
  <c r="AE158"/>
  <c r="AF158" s="1"/>
  <c r="AE850"/>
  <c r="AF850" s="1"/>
  <c r="AE250"/>
  <c r="AF250" s="1"/>
  <c r="AE247"/>
  <c r="AF247" s="1"/>
  <c r="AE241"/>
  <c r="AF241" s="1"/>
  <c r="AE704"/>
  <c r="AF704" s="1"/>
  <c r="AE597"/>
  <c r="AF597" s="1"/>
  <c r="AE851"/>
  <c r="AF851" s="1"/>
  <c r="AE217"/>
  <c r="AF217" s="1"/>
  <c r="AE202"/>
  <c r="AF202" s="1"/>
  <c r="AE853"/>
  <c r="AF853" s="1"/>
  <c r="AE644"/>
  <c r="AF644" s="1"/>
  <c r="AE628"/>
  <c r="AF628" s="1"/>
  <c r="AE625"/>
  <c r="AF625" s="1"/>
  <c r="AE631"/>
  <c r="AF631" s="1"/>
  <c r="AE741"/>
  <c r="AF741" s="1"/>
  <c r="AE872"/>
  <c r="AF872" s="1"/>
  <c r="AE743"/>
  <c r="AF743" s="1"/>
  <c r="AE746"/>
  <c r="AF746" s="1"/>
  <c r="AE681"/>
  <c r="AF681" s="1"/>
  <c r="AE748"/>
  <c r="AF748" s="1"/>
  <c r="AE888"/>
  <c r="AF888" s="1"/>
  <c r="AE465"/>
  <c r="AF465" s="1"/>
  <c r="AE446"/>
  <c r="AF446" s="1"/>
  <c r="AE574"/>
  <c r="AF574" s="1"/>
  <c r="AE362"/>
  <c r="AF362" s="1"/>
  <c r="AE113"/>
  <c r="AF113" s="1"/>
  <c r="AE586"/>
  <c r="AF586" s="1"/>
  <c r="AE417"/>
  <c r="AF417" s="1"/>
  <c r="AE71"/>
  <c r="AF71" s="1"/>
  <c r="AE589"/>
  <c r="AF589" s="1"/>
  <c r="AE70"/>
  <c r="AF70" s="1"/>
  <c r="AE807"/>
  <c r="AF807" s="1"/>
  <c r="AE387"/>
  <c r="AF387" s="1"/>
  <c r="AE825"/>
  <c r="AF825" s="1"/>
  <c r="AE579"/>
  <c r="AF579" s="1"/>
  <c r="AE478"/>
  <c r="AF478" s="1"/>
  <c r="AE307"/>
  <c r="AF307" s="1"/>
  <c r="AE776"/>
  <c r="AF776" s="1"/>
  <c r="AE393"/>
  <c r="AF393" s="1"/>
  <c r="AE419"/>
  <c r="AF419" s="1"/>
  <c r="AE351"/>
  <c r="AF351" s="1"/>
  <c r="AE809"/>
  <c r="AF809" s="1"/>
  <c r="AE121"/>
  <c r="AF121" s="1"/>
  <c r="AE425"/>
  <c r="AF425" s="1"/>
  <c r="AE768"/>
  <c r="AF768" s="1"/>
  <c r="AE782"/>
  <c r="AF782" s="1"/>
  <c r="AE584"/>
  <c r="AF584" s="1"/>
  <c r="AE383"/>
  <c r="AF383" s="1"/>
  <c r="AE370"/>
  <c r="AF370" s="1"/>
  <c r="AE583"/>
  <c r="AF583" s="1"/>
  <c r="AE115"/>
  <c r="AF115" s="1"/>
  <c r="AE275"/>
  <c r="AF275" s="1"/>
  <c r="AE258"/>
  <c r="AF258" s="1"/>
  <c r="AE273"/>
  <c r="AF273" s="1"/>
  <c r="AE259"/>
  <c r="AF259" s="1"/>
  <c r="AE271"/>
  <c r="AF271" s="1"/>
  <c r="AE502"/>
  <c r="AF502" s="1"/>
  <c r="AE531"/>
  <c r="AF531" s="1"/>
  <c r="AE528"/>
  <c r="AF528" s="1"/>
  <c r="AE518"/>
  <c r="AF518" s="1"/>
  <c r="AE530"/>
  <c r="AF530" s="1"/>
  <c r="AE534"/>
  <c r="AF534" s="1"/>
  <c r="AE277"/>
  <c r="AF277" s="1"/>
  <c r="AE38"/>
  <c r="AF38" s="1"/>
  <c r="AE47"/>
  <c r="AF47" s="1"/>
  <c r="AE174"/>
  <c r="AF174" s="1"/>
  <c r="AE179"/>
  <c r="AF179" s="1"/>
  <c r="AE181"/>
  <c r="AF181" s="1"/>
  <c r="AE604"/>
  <c r="AF604" s="1"/>
  <c r="AE154"/>
  <c r="AF154" s="1"/>
  <c r="AE702"/>
  <c r="AF702" s="1"/>
  <c r="AE249"/>
  <c r="AF249" s="1"/>
  <c r="AE242"/>
  <c r="AF242" s="1"/>
  <c r="AE848"/>
  <c r="AF848" s="1"/>
  <c r="AE613"/>
  <c r="AF613" s="1"/>
  <c r="AE852"/>
  <c r="AF852" s="1"/>
  <c r="AE203"/>
  <c r="AF203" s="1"/>
  <c r="AE845"/>
  <c r="AF845" s="1"/>
  <c r="AE209"/>
  <c r="AF209" s="1"/>
  <c r="AE655"/>
  <c r="AF655" s="1"/>
  <c r="AE89"/>
  <c r="AF89" s="1"/>
  <c r="AE636"/>
  <c r="AF636" s="1"/>
  <c r="AE91"/>
  <c r="AF91" s="1"/>
  <c r="AE654"/>
  <c r="AF654" s="1"/>
  <c r="AE640"/>
  <c r="AF640" s="1"/>
  <c r="AE727"/>
  <c r="AF727" s="1"/>
  <c r="AE867"/>
  <c r="AF867" s="1"/>
  <c r="AE725"/>
  <c r="AF725" s="1"/>
  <c r="AE889"/>
  <c r="AF889" s="1"/>
  <c r="AE865"/>
  <c r="AF865" s="1"/>
  <c r="AE892"/>
  <c r="AF892" s="1"/>
  <c r="AE740"/>
  <c r="AF740" s="1"/>
  <c r="AE442"/>
  <c r="AF442" s="1"/>
  <c r="AE462"/>
  <c r="AF462" s="1"/>
  <c r="AE460"/>
  <c r="AF460" s="1"/>
  <c r="AE808"/>
  <c r="AF808" s="1"/>
  <c r="AE79"/>
  <c r="AF79" s="1"/>
  <c r="AE578"/>
  <c r="AF578" s="1"/>
  <c r="AE803"/>
  <c r="AF803" s="1"/>
  <c r="AE365"/>
  <c r="AF365" s="1"/>
  <c r="AE360"/>
  <c r="AF360" s="1"/>
  <c r="AE585"/>
  <c r="AF585" s="1"/>
  <c r="AE116"/>
  <c r="AF116" s="1"/>
  <c r="AE358"/>
  <c r="AF358" s="1"/>
  <c r="AE396"/>
  <c r="AF396" s="1"/>
  <c r="AE778"/>
  <c r="AF778" s="1"/>
  <c r="AE312"/>
  <c r="AF312" s="1"/>
  <c r="AE580"/>
  <c r="AF580" s="1"/>
  <c r="AE363"/>
  <c r="AF363" s="1"/>
  <c r="AE316"/>
  <c r="AF316" s="1"/>
  <c r="AE571"/>
  <c r="AF571" s="1"/>
  <c r="AE308"/>
  <c r="AF308" s="1"/>
  <c r="AE799"/>
  <c r="AF799" s="1"/>
  <c r="AE82"/>
  <c r="AF82" s="1"/>
  <c r="AE488"/>
  <c r="AF488" s="1"/>
  <c r="AE391"/>
  <c r="AF391" s="1"/>
  <c r="AE97"/>
  <c r="AF97" s="1"/>
  <c r="AE420"/>
  <c r="AF420" s="1"/>
  <c r="AE310"/>
  <c r="AF310" s="1"/>
  <c r="AE785"/>
  <c r="AF785" s="1"/>
  <c r="AE364"/>
  <c r="AF364" s="1"/>
  <c r="AE812"/>
  <c r="AF812" s="1"/>
  <c r="AE399"/>
  <c r="AF399" s="1"/>
  <c r="AE281"/>
  <c r="AF281" s="1"/>
  <c r="AE284"/>
  <c r="AF284" s="1"/>
  <c r="AE510"/>
  <c r="AF510" s="1"/>
  <c r="AE509"/>
  <c r="AF509" s="1"/>
  <c r="AE325"/>
  <c r="AF325" s="1"/>
  <c r="AE286"/>
  <c r="AF286" s="1"/>
  <c r="AE505"/>
  <c r="AF505" s="1"/>
  <c r="AE525"/>
  <c r="AF525" s="1"/>
  <c r="AE514"/>
  <c r="AF514" s="1"/>
  <c r="AE276"/>
  <c r="AF276" s="1"/>
  <c r="AE329"/>
  <c r="AF329" s="1"/>
  <c r="AE52"/>
  <c r="AF52" s="1"/>
  <c r="AE43"/>
  <c r="AF43" s="1"/>
  <c r="AE54"/>
  <c r="AF54" s="1"/>
  <c r="AE180"/>
  <c r="AF180" s="1"/>
  <c r="AE178"/>
  <c r="AF178" s="1"/>
  <c r="AE165"/>
  <c r="AF165" s="1"/>
  <c r="AE210"/>
  <c r="AF210" s="1"/>
  <c r="AE204"/>
  <c r="AF204" s="1"/>
  <c r="AE598"/>
  <c r="AF598" s="1"/>
  <c r="AE849"/>
  <c r="AF849" s="1"/>
  <c r="AE596"/>
  <c r="AF596" s="1"/>
  <c r="AE208"/>
  <c r="AF208" s="1"/>
  <c r="AE207"/>
  <c r="AF207" s="1"/>
  <c r="AE843"/>
  <c r="AF843" s="1"/>
  <c r="AE699"/>
  <c r="AF699" s="1"/>
  <c r="AE714"/>
  <c r="AF714" s="1"/>
  <c r="AE374"/>
  <c r="AF374" s="1"/>
  <c r="AE627"/>
  <c r="AF627" s="1"/>
  <c r="AE648"/>
  <c r="AF648" s="1"/>
  <c r="AE639"/>
  <c r="AF639" s="1"/>
  <c r="AE646"/>
  <c r="AF646" s="1"/>
  <c r="AE90"/>
  <c r="AF90" s="1"/>
  <c r="AE886"/>
  <c r="AF886" s="1"/>
  <c r="AE885"/>
  <c r="AF885" s="1"/>
  <c r="AE745"/>
  <c r="AF745" s="1"/>
  <c r="AE894"/>
  <c r="AF894" s="1"/>
  <c r="AE731"/>
  <c r="AF731" s="1"/>
  <c r="AE733"/>
  <c r="AF733" s="1"/>
  <c r="AE749"/>
  <c r="AF749" s="1"/>
  <c r="AE866"/>
  <c r="AF866" s="1"/>
  <c r="AE456"/>
  <c r="AF456" s="1"/>
  <c r="AE458"/>
  <c r="AF458" s="1"/>
  <c r="AE457"/>
  <c r="AF457" s="1"/>
  <c r="AE454"/>
  <c r="AF454" s="1"/>
  <c r="AE581"/>
  <c r="AF581" s="1"/>
  <c r="AE786"/>
  <c r="AF786" s="1"/>
  <c r="AE577"/>
  <c r="AF577" s="1"/>
  <c r="AE361"/>
  <c r="AF361" s="1"/>
  <c r="AE68"/>
  <c r="AF68" s="1"/>
  <c r="AE806"/>
  <c r="AF806" s="1"/>
  <c r="AE771"/>
  <c r="AF771" s="1"/>
  <c r="AE354"/>
  <c r="AF354" s="1"/>
  <c r="AE784"/>
  <c r="AF784" s="1"/>
  <c r="AE348"/>
  <c r="AF348" s="1"/>
  <c r="AE313"/>
  <c r="AF313" s="1"/>
  <c r="AE77"/>
  <c r="AF77" s="1"/>
  <c r="AE824"/>
  <c r="AF824" s="1"/>
  <c r="AE471"/>
  <c r="AF471" s="1"/>
  <c r="AE119"/>
  <c r="AF119" s="1"/>
  <c r="AE353"/>
  <c r="AF353" s="1"/>
  <c r="AE404"/>
  <c r="AF404" s="1"/>
  <c r="AE563"/>
  <c r="AF563" s="1"/>
  <c r="AE311"/>
  <c r="AF311" s="1"/>
  <c r="AE774"/>
  <c r="AF774" s="1"/>
  <c r="AE787"/>
  <c r="AF787" s="1"/>
  <c r="AE81"/>
  <c r="AF81" s="1"/>
  <c r="AE349"/>
  <c r="AF349" s="1"/>
  <c r="AE69"/>
  <c r="AF69" s="1"/>
  <c r="AE422"/>
  <c r="AF422" s="1"/>
  <c r="AE338"/>
  <c r="AF338" s="1"/>
  <c r="AE811"/>
  <c r="AF811" s="1"/>
  <c r="AE490"/>
  <c r="AF490" s="1"/>
  <c r="AE423"/>
  <c r="AF423" s="1"/>
  <c r="AE347"/>
  <c r="AF347" s="1"/>
  <c r="AE529"/>
  <c r="AF529" s="1"/>
  <c r="AE504"/>
  <c r="AF504" s="1"/>
  <c r="AE522"/>
  <c r="AF522" s="1"/>
  <c r="AE289"/>
  <c r="AF289" s="1"/>
  <c r="AE506"/>
  <c r="AF506" s="1"/>
  <c r="AE507"/>
  <c r="AF507" s="1"/>
  <c r="AE290"/>
  <c r="AF290" s="1"/>
  <c r="AE280"/>
  <c r="AF280" s="1"/>
  <c r="AE535"/>
  <c r="AF535" s="1"/>
  <c r="AE288"/>
  <c r="AF288" s="1"/>
  <c r="AE60"/>
  <c r="AF60" s="1"/>
  <c r="AE51"/>
  <c r="AF51" s="1"/>
  <c r="AE57"/>
  <c r="AF57" s="1"/>
  <c r="AE177"/>
  <c r="AF177" s="1"/>
  <c r="AE171"/>
  <c r="AF171" s="1"/>
  <c r="AE609"/>
  <c r="AF609" s="1"/>
  <c r="AE854"/>
  <c r="AF854" s="1"/>
  <c r="AE695"/>
  <c r="AF695" s="1"/>
  <c r="AE615"/>
  <c r="AF615" s="1"/>
  <c r="AE855"/>
  <c r="AF855" s="1"/>
  <c r="AE184"/>
  <c r="AF184" s="1"/>
  <c r="AE844"/>
  <c r="AF844" s="1"/>
  <c r="AE251"/>
  <c r="AF251" s="1"/>
  <c r="AE237"/>
  <c r="AF237" s="1"/>
  <c r="AE86"/>
  <c r="AF86" s="1"/>
  <c r="AE645"/>
  <c r="AF645" s="1"/>
  <c r="AE621"/>
  <c r="AF621" s="1"/>
  <c r="AE638"/>
  <c r="AF638" s="1"/>
  <c r="AE738"/>
  <c r="AF738" s="1"/>
  <c r="AE742"/>
  <c r="AF742" s="1"/>
  <c r="AE870"/>
  <c r="AF870" s="1"/>
  <c r="AE863"/>
  <c r="AF863" s="1"/>
  <c r="AE747"/>
  <c r="AF747" s="1"/>
  <c r="AE734"/>
  <c r="AF734" s="1"/>
  <c r="AE28"/>
  <c r="AF28" s="1"/>
  <c r="AC256"/>
  <c r="AE255"/>
  <c r="AE256" s="1"/>
  <c r="AE31"/>
  <c r="AF31" s="1"/>
  <c r="AE30"/>
  <c r="AF30" s="1"/>
  <c r="AE3"/>
  <c r="AF3" s="1"/>
  <c r="AE21"/>
  <c r="AF21" s="1"/>
  <c r="AE33"/>
  <c r="AF33" s="1"/>
  <c r="S76" i="1"/>
  <c r="N10" i="2"/>
  <c r="F709" i="3"/>
  <c r="F898" s="1"/>
  <c r="AC85"/>
  <c r="AC539"/>
  <c r="AC285"/>
  <c r="AC212"/>
  <c r="AC516"/>
  <c r="AC633"/>
  <c r="AC120"/>
  <c r="AB687"/>
  <c r="AC687" s="1"/>
  <c r="AB728"/>
  <c r="AC728" s="1"/>
  <c r="H709"/>
  <c r="H898" s="1"/>
  <c r="AB689"/>
  <c r="AC689" s="1"/>
  <c r="AB896"/>
  <c r="AC896" s="1"/>
  <c r="AB724"/>
  <c r="AC724" s="1"/>
  <c r="AB737"/>
  <c r="AC737" s="1"/>
  <c r="AB882"/>
  <c r="AC882" s="1"/>
  <c r="AB736"/>
  <c r="AC736" s="1"/>
  <c r="AB876"/>
  <c r="AC876" s="1"/>
  <c r="AB739"/>
  <c r="AC739" s="1"/>
  <c r="AB881"/>
  <c r="AC881" s="1"/>
  <c r="AC895"/>
  <c r="AE895" s="1"/>
  <c r="AF895" s="1"/>
  <c r="AB680"/>
  <c r="Q626"/>
  <c r="U674"/>
  <c r="U678" s="1"/>
  <c r="V632"/>
  <c r="AB877"/>
  <c r="AC877" s="1"/>
  <c r="AB735"/>
  <c r="AC735" s="1"/>
  <c r="AB887"/>
  <c r="AC887" s="1"/>
  <c r="AB726"/>
  <c r="AC726" s="1"/>
  <c r="AB890"/>
  <c r="AC890" s="1"/>
  <c r="AB893"/>
  <c r="AC893" s="1"/>
  <c r="AB686"/>
  <c r="AC686" s="1"/>
  <c r="J709"/>
  <c r="J898" s="1"/>
  <c r="L674"/>
  <c r="L678" s="1"/>
  <c r="AC357"/>
  <c r="AC397"/>
  <c r="AC412"/>
  <c r="AB652"/>
  <c r="AC652" s="1"/>
  <c r="AB643"/>
  <c r="AC643" s="1"/>
  <c r="AB93"/>
  <c r="AC93" s="1"/>
  <c r="AB641"/>
  <c r="AC641" s="1"/>
  <c r="AB642"/>
  <c r="AC642" s="1"/>
  <c r="AB651"/>
  <c r="AC651" s="1"/>
  <c r="AB635"/>
  <c r="AC635" s="1"/>
  <c r="AB619"/>
  <c r="AC619" s="1"/>
  <c r="AB647"/>
  <c r="AC647" s="1"/>
  <c r="AB620"/>
  <c r="AC620" s="1"/>
  <c r="AB630"/>
  <c r="AC630" s="1"/>
  <c r="AB623"/>
  <c r="AC623" s="1"/>
  <c r="AB634"/>
  <c r="AC634" s="1"/>
  <c r="AB94"/>
  <c r="AC94" s="1"/>
  <c r="AB92"/>
  <c r="AC92" s="1"/>
  <c r="AB624"/>
  <c r="AC624" s="1"/>
  <c r="AB372"/>
  <c r="AB703"/>
  <c r="AC703" s="1"/>
  <c r="AB716"/>
  <c r="AC716" s="1"/>
  <c r="AB696"/>
  <c r="AC696" s="1"/>
  <c r="AB244"/>
  <c r="AC244" s="1"/>
  <c r="AB720"/>
  <c r="AC720" s="1"/>
  <c r="AB698"/>
  <c r="AC698" s="1"/>
  <c r="AB246"/>
  <c r="AC246" s="1"/>
  <c r="AB239"/>
  <c r="AC239" s="1"/>
  <c r="AB216"/>
  <c r="AC216" s="1"/>
  <c r="AB248"/>
  <c r="AC248" s="1"/>
  <c r="AB706"/>
  <c r="AC706" s="1"/>
  <c r="AB240"/>
  <c r="AC240" s="1"/>
  <c r="AB701"/>
  <c r="AC701" s="1"/>
  <c r="AB205"/>
  <c r="AC205" s="1"/>
  <c r="AB236"/>
  <c r="AC236" s="1"/>
  <c r="AB846"/>
  <c r="AC846" s="1"/>
  <c r="AB717"/>
  <c r="AC717" s="1"/>
  <c r="AB718"/>
  <c r="AC718" s="1"/>
  <c r="AB243"/>
  <c r="AC243" s="1"/>
  <c r="AB599"/>
  <c r="AC599" s="1"/>
  <c r="AB211"/>
  <c r="AC211" s="1"/>
  <c r="AB841"/>
  <c r="AC841" s="1"/>
  <c r="AB608"/>
  <c r="AC608" s="1"/>
  <c r="AB693"/>
  <c r="AC693" s="1"/>
  <c r="AB694"/>
  <c r="AC694" s="1"/>
  <c r="AB213"/>
  <c r="AC213" s="1"/>
  <c r="AB707"/>
  <c r="AC707" s="1"/>
  <c r="AB190"/>
  <c r="AC190" s="1"/>
  <c r="AB188"/>
  <c r="AC188" s="1"/>
  <c r="AB719"/>
  <c r="AC719" s="1"/>
  <c r="AB189"/>
  <c r="AC189" s="1"/>
  <c r="AB715"/>
  <c r="AC715" s="1"/>
  <c r="AB705"/>
  <c r="AC705" s="1"/>
  <c r="AB229"/>
  <c r="AC229" s="1"/>
  <c r="AB697"/>
  <c r="AC697" s="1"/>
  <c r="AB214"/>
  <c r="W602"/>
  <c r="Y602" s="1"/>
  <c r="Y606" s="1"/>
  <c r="AB164"/>
  <c r="AC164" s="1"/>
  <c r="M669"/>
  <c r="M672" s="1"/>
  <c r="AB155"/>
  <c r="AC155" s="1"/>
  <c r="AC552"/>
  <c r="AB551"/>
  <c r="AC551" s="1"/>
  <c r="AB544"/>
  <c r="AC544" s="1"/>
  <c r="AB168"/>
  <c r="AC168" s="1"/>
  <c r="AB176"/>
  <c r="AC176" s="1"/>
  <c r="AB175"/>
  <c r="AC175" s="1"/>
  <c r="AB549"/>
  <c r="AC549" s="1"/>
  <c r="AB160"/>
  <c r="AC160" s="1"/>
  <c r="AB605"/>
  <c r="AC605" s="1"/>
  <c r="AB542"/>
  <c r="AC542" s="1"/>
  <c r="AB153"/>
  <c r="AC153" s="1"/>
  <c r="AB32"/>
  <c r="AC32" s="1"/>
  <c r="AB24"/>
  <c r="AC24" s="1"/>
  <c r="AB18"/>
  <c r="AC18" s="1"/>
  <c r="AB58"/>
  <c r="AC58" s="1"/>
  <c r="AB12"/>
  <c r="AC12" s="1"/>
  <c r="AB22"/>
  <c r="AC22" s="1"/>
  <c r="AB27"/>
  <c r="AC27" s="1"/>
  <c r="AB14"/>
  <c r="AC14" s="1"/>
  <c r="AB26"/>
  <c r="AC26" s="1"/>
  <c r="AB15"/>
  <c r="AC15" s="1"/>
  <c r="AB25"/>
  <c r="AC25" s="1"/>
  <c r="AB56"/>
  <c r="AC56" s="1"/>
  <c r="AB20"/>
  <c r="AC20" s="1"/>
  <c r="AB48"/>
  <c r="AC48" s="1"/>
  <c r="AB61"/>
  <c r="AC61" s="1"/>
  <c r="AB44"/>
  <c r="AB49"/>
  <c r="AC49" s="1"/>
  <c r="AB55"/>
  <c r="AB523"/>
  <c r="AC523" s="1"/>
  <c r="AB497"/>
  <c r="AC497" s="1"/>
  <c r="AB266"/>
  <c r="AC266" s="1"/>
  <c r="AB263"/>
  <c r="AC263" s="1"/>
  <c r="AB324"/>
  <c r="AC324" s="1"/>
  <c r="AB283"/>
  <c r="AC283" s="1"/>
  <c r="AB330"/>
  <c r="AC330" s="1"/>
  <c r="AB261"/>
  <c r="AC261" s="1"/>
  <c r="AB500"/>
  <c r="AC500" s="1"/>
  <c r="AB327"/>
  <c r="AC327" s="1"/>
  <c r="AB269"/>
  <c r="AC269" s="1"/>
  <c r="AB321"/>
  <c r="AC321" s="1"/>
  <c r="AB260"/>
  <c r="AC260" s="1"/>
  <c r="AB328"/>
  <c r="AC328" s="1"/>
  <c r="AB517"/>
  <c r="AC517" s="1"/>
  <c r="AB265"/>
  <c r="AC265" s="1"/>
  <c r="AB508"/>
  <c r="AC508" s="1"/>
  <c r="AB524"/>
  <c r="AC524" s="1"/>
  <c r="AB503"/>
  <c r="AC503" s="1"/>
  <c r="AB511"/>
  <c r="AC511" s="1"/>
  <c r="AB476"/>
  <c r="AC476" s="1"/>
  <c r="AB398"/>
  <c r="AC398" s="1"/>
  <c r="AB489"/>
  <c r="AC489" s="1"/>
  <c r="AB773"/>
  <c r="AC773" s="1"/>
  <c r="AB99"/>
  <c r="AC99" s="1"/>
  <c r="AB384"/>
  <c r="AC384" s="1"/>
  <c r="AB783"/>
  <c r="AC783" s="1"/>
  <c r="AB487"/>
  <c r="AC487" s="1"/>
  <c r="AB388"/>
  <c r="AC388" s="1"/>
  <c r="AB793"/>
  <c r="AC793" s="1"/>
  <c r="AB334"/>
  <c r="AC334" s="1"/>
  <c r="AB339"/>
  <c r="AC339" s="1"/>
  <c r="AB781"/>
  <c r="AC781" s="1"/>
  <c r="AB570"/>
  <c r="AC570" s="1"/>
  <c r="AB481"/>
  <c r="AC481" s="1"/>
  <c r="AB822"/>
  <c r="AC822" s="1"/>
  <c r="AB400"/>
  <c r="AC400" s="1"/>
  <c r="AB340"/>
  <c r="AC340" s="1"/>
  <c r="AB415"/>
  <c r="AC415" s="1"/>
  <c r="AB491"/>
  <c r="AC491" s="1"/>
  <c r="AB402"/>
  <c r="AC402" s="1"/>
  <c r="AB103"/>
  <c r="AC103" s="1"/>
  <c r="AB472"/>
  <c r="AC472" s="1"/>
  <c r="AB555"/>
  <c r="AC555" s="1"/>
  <c r="AB336"/>
  <c r="AC336" s="1"/>
  <c r="AB309"/>
  <c r="AC309" s="1"/>
  <c r="AB346"/>
  <c r="AC346" s="1"/>
  <c r="AB769"/>
  <c r="AC769" s="1"/>
  <c r="AB470"/>
  <c r="AC470" s="1"/>
  <c r="AB380"/>
  <c r="AC380" s="1"/>
  <c r="AB392"/>
  <c r="AC392" s="1"/>
  <c r="AB797"/>
  <c r="AC797" s="1"/>
  <c r="AB66"/>
  <c r="AC66" s="1"/>
  <c r="AB343"/>
  <c r="AC343" s="1"/>
  <c r="AB770"/>
  <c r="AC770" s="1"/>
  <c r="AB564"/>
  <c r="AC564" s="1"/>
  <c r="AB817"/>
  <c r="AC817" s="1"/>
  <c r="AB558"/>
  <c r="AC558" s="1"/>
  <c r="AB834"/>
  <c r="AC834" s="1"/>
  <c r="AB101"/>
  <c r="AC101" s="1"/>
  <c r="AB482"/>
  <c r="AC482" s="1"/>
  <c r="AB421"/>
  <c r="AC421" s="1"/>
  <c r="AB766"/>
  <c r="AC766" s="1"/>
  <c r="AB556"/>
  <c r="AC556" s="1"/>
  <c r="AB801"/>
  <c r="AC801" s="1"/>
  <c r="AB424"/>
  <c r="AC424" s="1"/>
  <c r="AB575"/>
  <c r="AC575" s="1"/>
  <c r="AB480"/>
  <c r="AC480" s="1"/>
  <c r="AB342"/>
  <c r="AC342" s="1"/>
  <c r="AB401"/>
  <c r="AC401" s="1"/>
  <c r="AB576"/>
  <c r="AC576" s="1"/>
  <c r="AB836"/>
  <c r="AC836" s="1"/>
  <c r="AB777"/>
  <c r="AC777" s="1"/>
  <c r="AB566"/>
  <c r="AC566" s="1"/>
  <c r="AB775"/>
  <c r="AC775" s="1"/>
  <c r="AB105"/>
  <c r="AC105" s="1"/>
  <c r="AB572"/>
  <c r="AC572" s="1"/>
  <c r="AB798"/>
  <c r="AC798" s="1"/>
  <c r="AB569"/>
  <c r="AC569" s="1"/>
  <c r="AB780"/>
  <c r="AC780" s="1"/>
  <c r="AB352"/>
  <c r="AC352" s="1"/>
  <c r="AB300"/>
  <c r="AC300" s="1"/>
  <c r="AB106"/>
  <c r="AC106" s="1"/>
  <c r="AB122"/>
  <c r="AC122" s="1"/>
  <c r="AB405"/>
  <c r="AC405" s="1"/>
  <c r="AB821"/>
  <c r="AC821" s="1"/>
  <c r="AB788"/>
  <c r="AC788" s="1"/>
  <c r="AB475"/>
  <c r="AC475" s="1"/>
  <c r="AB582"/>
  <c r="AB386"/>
  <c r="AC386" s="1"/>
  <c r="AB588"/>
  <c r="AC588" s="1"/>
  <c r="AB772"/>
  <c r="AC772" s="1"/>
  <c r="AB587"/>
  <c r="AC587" s="1"/>
  <c r="AB390"/>
  <c r="AC390" s="1"/>
  <c r="AB306"/>
  <c r="AC306" s="1"/>
  <c r="AB341"/>
  <c r="AC341" s="1"/>
  <c r="AB385"/>
  <c r="AC385" s="1"/>
  <c r="AB418"/>
  <c r="AC418" s="1"/>
  <c r="AB492"/>
  <c r="AC492" s="1"/>
  <c r="AB381"/>
  <c r="AC381" s="1"/>
  <c r="AB298"/>
  <c r="AC298" s="1"/>
  <c r="AB108"/>
  <c r="AC108" s="1"/>
  <c r="AC145"/>
  <c r="AC368"/>
  <c r="AB440"/>
  <c r="AC440" s="1"/>
  <c r="AB449"/>
  <c r="AC449" s="1"/>
  <c r="AB432"/>
  <c r="AC432" s="1"/>
  <c r="AB439"/>
  <c r="AC439" s="1"/>
  <c r="AB459"/>
  <c r="AC459" s="1"/>
  <c r="AB463"/>
  <c r="AB431"/>
  <c r="AB451"/>
  <c r="AC451" s="1"/>
  <c r="AB444"/>
  <c r="AC444" s="1"/>
  <c r="AB453"/>
  <c r="AC453" s="1"/>
  <c r="AB445"/>
  <c r="AC445" s="1"/>
  <c r="R73" i="1"/>
  <c r="Q2"/>
  <c r="Q8" s="1"/>
  <c r="N657" i="3"/>
  <c r="Y296"/>
  <c r="Y819"/>
  <c r="Z819" s="1"/>
  <c r="Y763"/>
  <c r="Z763" s="1"/>
  <c r="Y441"/>
  <c r="Z441" s="1"/>
  <c r="Y9"/>
  <c r="Z9" s="1"/>
  <c r="Y791"/>
  <c r="Z791" s="1"/>
  <c r="Y232"/>
  <c r="Z232" s="1"/>
  <c r="Y147"/>
  <c r="Y711"/>
  <c r="Z711" s="1"/>
  <c r="Y299"/>
  <c r="Z299" s="1"/>
  <c r="Y880"/>
  <c r="Z880" s="1"/>
  <c r="Y802"/>
  <c r="Z802" s="1"/>
  <c r="Y682"/>
  <c r="Z682" s="1"/>
  <c r="Y752"/>
  <c r="Z752" s="1"/>
  <c r="Z375"/>
  <c r="Y333"/>
  <c r="Z333" s="1"/>
  <c r="Y840"/>
  <c r="Y225"/>
  <c r="Y765"/>
  <c r="Z765" s="1"/>
  <c r="Y560"/>
  <c r="Z560" s="1"/>
  <c r="Y377"/>
  <c r="Z377" s="1"/>
  <c r="Y36"/>
  <c r="Z36" s="1"/>
  <c r="Y437"/>
  <c r="Z437" s="1"/>
  <c r="Y40"/>
  <c r="Z40" s="1"/>
  <c r="Y804"/>
  <c r="Z804" s="1"/>
  <c r="Y262"/>
  <c r="Z262" s="1"/>
  <c r="Y875"/>
  <c r="Z875" s="1"/>
  <c r="Y477"/>
  <c r="Z477" s="1"/>
  <c r="Y167"/>
  <c r="Z167" s="1"/>
  <c r="Y758"/>
  <c r="Z758" s="1"/>
  <c r="Y760"/>
  <c r="Z760" s="1"/>
  <c r="Y186"/>
  <c r="Z186" s="1"/>
  <c r="Y13"/>
  <c r="Z13" s="1"/>
  <c r="Y753"/>
  <c r="Z753" s="1"/>
  <c r="Y474"/>
  <c r="Z474" s="1"/>
  <c r="Y42"/>
  <c r="Z42" s="1"/>
  <c r="Y757"/>
  <c r="Z757" s="1"/>
  <c r="Y98"/>
  <c r="Z98" s="1"/>
  <c r="Y540"/>
  <c r="Z540" s="1"/>
  <c r="Y411"/>
  <c r="Z411" s="1"/>
  <c r="Y828"/>
  <c r="Y859"/>
  <c r="Y148"/>
  <c r="Z148" s="1"/>
  <c r="Y170"/>
  <c r="Z170" s="1"/>
  <c r="Y172"/>
  <c r="Z172" s="1"/>
  <c r="Y197"/>
  <c r="Z197" s="1"/>
  <c r="Y473"/>
  <c r="Z473" s="1"/>
  <c r="Y100"/>
  <c r="Z100" s="1"/>
  <c r="Y830"/>
  <c r="Z830" s="1"/>
  <c r="Y102"/>
  <c r="Z102" s="1"/>
  <c r="Y554"/>
  <c r="Z554" s="1"/>
  <c r="Y860"/>
  <c r="Z860" s="1"/>
  <c r="Y151"/>
  <c r="Z151" s="1"/>
  <c r="Y226"/>
  <c r="Z226" s="1"/>
  <c r="Y11"/>
  <c r="Z11" s="1"/>
  <c r="Y107"/>
  <c r="Z107" s="1"/>
  <c r="Y762"/>
  <c r="Z762" s="1"/>
  <c r="Y16"/>
  <c r="Z16" s="1"/>
  <c r="Y562"/>
  <c r="Z562" s="1"/>
  <c r="Y755"/>
  <c r="Z755" s="1"/>
  <c r="Y344"/>
  <c r="Z344" s="1"/>
  <c r="Y729"/>
  <c r="Z729" s="1"/>
  <c r="Y41"/>
  <c r="Z41" s="1"/>
  <c r="Y759"/>
  <c r="Z759" s="1"/>
  <c r="Y878"/>
  <c r="Z878" s="1"/>
  <c r="Y767"/>
  <c r="Z767" s="1"/>
  <c r="Y438"/>
  <c r="Z438" s="1"/>
  <c r="Y104"/>
  <c r="Z104" s="1"/>
  <c r="Y416"/>
  <c r="Z416" s="1"/>
  <c r="Y499"/>
  <c r="Z499" s="1"/>
  <c r="Y150"/>
  <c r="Z150" s="1"/>
  <c r="Y297"/>
  <c r="Z297" s="1"/>
  <c r="Y228"/>
  <c r="Z228" s="1"/>
  <c r="Y152"/>
  <c r="Z152" s="1"/>
  <c r="Y163"/>
  <c r="W84"/>
  <c r="Y65"/>
  <c r="Y84" s="1"/>
  <c r="Y730"/>
  <c r="Z730" s="1"/>
  <c r="Y435"/>
  <c r="Z435" s="1"/>
  <c r="Z601"/>
  <c r="Z320"/>
  <c r="Y375"/>
  <c r="Z2"/>
  <c r="M7" i="1"/>
  <c r="K8"/>
  <c r="H5" i="2"/>
  <c r="K95" i="1"/>
  <c r="M94"/>
  <c r="O92"/>
  <c r="P92" s="1"/>
  <c r="R92" s="1"/>
  <c r="T92" s="1"/>
  <c r="V92" s="1"/>
  <c r="O81"/>
  <c r="P81" s="1"/>
  <c r="M87"/>
  <c r="I22" i="2" s="1"/>
  <c r="I93" i="1"/>
  <c r="I96" s="1"/>
  <c r="M80"/>
  <c r="I21" i="2" s="1"/>
  <c r="J21" s="1"/>
  <c r="O70" i="1"/>
  <c r="P70" s="1"/>
  <c r="M90"/>
  <c r="K93"/>
  <c r="M15"/>
  <c r="K65"/>
  <c r="M10"/>
  <c r="I19" i="2" s="1"/>
  <c r="O9" i="1"/>
  <c r="P9" s="1"/>
  <c r="H6" i="2"/>
  <c r="Q750" i="3"/>
  <c r="N873"/>
  <c r="N162"/>
  <c r="P162"/>
  <c r="P622"/>
  <c r="U750"/>
  <c r="Q162"/>
  <c r="S162"/>
  <c r="T722"/>
  <c r="T750" s="1"/>
  <c r="Q146"/>
  <c r="T257"/>
  <c r="V257" s="1"/>
  <c r="V295" s="1"/>
  <c r="W138"/>
  <c r="Y138" s="1"/>
  <c r="Z138" s="1"/>
  <c r="P254"/>
  <c r="P256" s="1"/>
  <c r="N146"/>
  <c r="V685"/>
  <c r="W685" s="1"/>
  <c r="V829"/>
  <c r="V414"/>
  <c r="W414" s="1"/>
  <c r="V541"/>
  <c r="W541" s="1"/>
  <c r="V159"/>
  <c r="W159" s="1"/>
  <c r="V879"/>
  <c r="W879" s="1"/>
  <c r="V433"/>
  <c r="W433" s="1"/>
  <c r="V610"/>
  <c r="W610" s="1"/>
  <c r="V559"/>
  <c r="W559" s="1"/>
  <c r="V869"/>
  <c r="W869" s="1"/>
  <c r="V230"/>
  <c r="W230" s="1"/>
  <c r="V382"/>
  <c r="W382" s="1"/>
  <c r="V754"/>
  <c r="W754" s="1"/>
  <c r="V690"/>
  <c r="W690" s="1"/>
  <c r="V436"/>
  <c r="W436" s="1"/>
  <c r="T858"/>
  <c r="V842"/>
  <c r="V858" s="1"/>
  <c r="T721"/>
  <c r="V35"/>
  <c r="W35" s="1"/>
  <c r="T538"/>
  <c r="V501"/>
  <c r="V538" s="1"/>
  <c r="V7"/>
  <c r="W7" s="1"/>
  <c r="V231"/>
  <c r="W231" s="1"/>
  <c r="V301"/>
  <c r="W301" s="1"/>
  <c r="V6"/>
  <c r="W6" s="1"/>
  <c r="T600"/>
  <c r="V595"/>
  <c r="V600" s="1"/>
  <c r="V137"/>
  <c r="V413"/>
  <c r="V8"/>
  <c r="W8" s="1"/>
  <c r="V761"/>
  <c r="W761" s="1"/>
  <c r="V141"/>
  <c r="W141" s="1"/>
  <c r="Y141" s="1"/>
  <c r="V684"/>
  <c r="W684" s="1"/>
  <c r="V557"/>
  <c r="W557" s="1"/>
  <c r="W498"/>
  <c r="W183"/>
  <c r="Q861"/>
  <c r="P873"/>
  <c r="Q37"/>
  <c r="P64"/>
  <c r="P84" s="1"/>
  <c r="S430"/>
  <c r="N144"/>
  <c r="N95"/>
  <c r="T862"/>
  <c r="S751"/>
  <c r="T751" s="1"/>
  <c r="S688"/>
  <c r="T688" s="1"/>
  <c r="S607"/>
  <c r="T607" s="1"/>
  <c r="T618" s="1"/>
  <c r="P96"/>
  <c r="N133"/>
  <c r="Q455"/>
  <c r="N468"/>
  <c r="P683"/>
  <c r="P561"/>
  <c r="N594"/>
  <c r="N606" s="1"/>
  <c r="N618" s="1"/>
  <c r="P369"/>
  <c r="P371" s="1"/>
  <c r="N371"/>
  <c r="S4"/>
  <c r="T4" s="1"/>
  <c r="T430"/>
  <c r="Q378"/>
  <c r="T670"/>
  <c r="Q839"/>
  <c r="T692"/>
  <c r="U692" s="1"/>
  <c r="S874"/>
  <c r="S897" s="1"/>
  <c r="Q897"/>
  <c r="Q550"/>
  <c r="N553"/>
  <c r="S140"/>
  <c r="S146" s="1"/>
  <c r="Q144"/>
  <c r="T88"/>
  <c r="U88" s="1"/>
  <c r="P827"/>
  <c r="T149"/>
  <c r="T337"/>
  <c r="S468"/>
  <c r="U332"/>
  <c r="P34"/>
  <c r="Q227"/>
  <c r="Q10"/>
  <c r="S166"/>
  <c r="S182" s="1"/>
  <c r="Q182"/>
  <c r="S538"/>
  <c r="T185"/>
  <c r="T469"/>
  <c r="T379"/>
  <c r="T756"/>
  <c r="K96" i="1" l="1"/>
  <c r="S73"/>
  <c r="T73" s="1"/>
  <c r="V73" s="1"/>
  <c r="AE439" i="3"/>
  <c r="AF439" s="1"/>
  <c r="AE381"/>
  <c r="AF381" s="1"/>
  <c r="AE587"/>
  <c r="AF587" s="1"/>
  <c r="AE405"/>
  <c r="AF405" s="1"/>
  <c r="AE572"/>
  <c r="AF572" s="1"/>
  <c r="AE342"/>
  <c r="AF342" s="1"/>
  <c r="AE343"/>
  <c r="AF343" s="1"/>
  <c r="AE309"/>
  <c r="AF309" s="1"/>
  <c r="AE340"/>
  <c r="AF340" s="1"/>
  <c r="AE481"/>
  <c r="AF481" s="1"/>
  <c r="AE783"/>
  <c r="AF783" s="1"/>
  <c r="AE503"/>
  <c r="AF503" s="1"/>
  <c r="AE269"/>
  <c r="AF269" s="1"/>
  <c r="AE263"/>
  <c r="AF263" s="1"/>
  <c r="AE48"/>
  <c r="AF48" s="1"/>
  <c r="AE719"/>
  <c r="AF719" s="1"/>
  <c r="AE707"/>
  <c r="AF707" s="1"/>
  <c r="AE608"/>
  <c r="AF608" s="1"/>
  <c r="AE243"/>
  <c r="AF243" s="1"/>
  <c r="AE236"/>
  <c r="AF236" s="1"/>
  <c r="AE706"/>
  <c r="AF706" s="1"/>
  <c r="AE246"/>
  <c r="AF246" s="1"/>
  <c r="AE696"/>
  <c r="AF696" s="1"/>
  <c r="AE624"/>
  <c r="AF624" s="1"/>
  <c r="AE623"/>
  <c r="AF623" s="1"/>
  <c r="AE619"/>
  <c r="AE412"/>
  <c r="AF412" s="1"/>
  <c r="AE444"/>
  <c r="AF444" s="1"/>
  <c r="AE459"/>
  <c r="AF459" s="1"/>
  <c r="AE440"/>
  <c r="AF440" s="1"/>
  <c r="AE298"/>
  <c r="AF298" s="1"/>
  <c r="AE385"/>
  <c r="AF385" s="1"/>
  <c r="AE390"/>
  <c r="AF390" s="1"/>
  <c r="AE386"/>
  <c r="AF386" s="1"/>
  <c r="AE821"/>
  <c r="AF821" s="1"/>
  <c r="AE300"/>
  <c r="AF300" s="1"/>
  <c r="AE798"/>
  <c r="AF798" s="1"/>
  <c r="AE566"/>
  <c r="AF566" s="1"/>
  <c r="AE401"/>
  <c r="AF401" s="1"/>
  <c r="AE424"/>
  <c r="AF424" s="1"/>
  <c r="AE421"/>
  <c r="AF421" s="1"/>
  <c r="AE834"/>
  <c r="AF834" s="1"/>
  <c r="AE770"/>
  <c r="AF770" s="1"/>
  <c r="AE392"/>
  <c r="AF392" s="1"/>
  <c r="AE346"/>
  <c r="AF346" s="1"/>
  <c r="AE472"/>
  <c r="AF472" s="1"/>
  <c r="AE415"/>
  <c r="AF415" s="1"/>
  <c r="AE822"/>
  <c r="AF822" s="1"/>
  <c r="AE339"/>
  <c r="AF339" s="1"/>
  <c r="AE487"/>
  <c r="AF487" s="1"/>
  <c r="AE773"/>
  <c r="AF773" s="1"/>
  <c r="AE511"/>
  <c r="AF511" s="1"/>
  <c r="AE265"/>
  <c r="AF265" s="1"/>
  <c r="AE321"/>
  <c r="AF321" s="1"/>
  <c r="AE261"/>
  <c r="AF261" s="1"/>
  <c r="AE324"/>
  <c r="AF324" s="1"/>
  <c r="AE523"/>
  <c r="AF523" s="1"/>
  <c r="AE61"/>
  <c r="AF61" s="1"/>
  <c r="AE542"/>
  <c r="AF542" s="1"/>
  <c r="AE175"/>
  <c r="AF175" s="1"/>
  <c r="AE551"/>
  <c r="AF551" s="1"/>
  <c r="AE164"/>
  <c r="AF164" s="1"/>
  <c r="AE229"/>
  <c r="AF229" s="1"/>
  <c r="AE693"/>
  <c r="AF693" s="1"/>
  <c r="AE599"/>
  <c r="AF599" s="1"/>
  <c r="AE846"/>
  <c r="AF846" s="1"/>
  <c r="AE240"/>
  <c r="AF240" s="1"/>
  <c r="AE239"/>
  <c r="AF239" s="1"/>
  <c r="AE244"/>
  <c r="AF244" s="1"/>
  <c r="AE634"/>
  <c r="AF634" s="1"/>
  <c r="AE647"/>
  <c r="AF647" s="1"/>
  <c r="AE642"/>
  <c r="AF642" s="1"/>
  <c r="AE652"/>
  <c r="AF652" s="1"/>
  <c r="AE890"/>
  <c r="AF890" s="1"/>
  <c r="AE877"/>
  <c r="AF877" s="1"/>
  <c r="AE736"/>
  <c r="AF736" s="1"/>
  <c r="AE896"/>
  <c r="AF896" s="1"/>
  <c r="AE687"/>
  <c r="AF687" s="1"/>
  <c r="AE212"/>
  <c r="AE451"/>
  <c r="AF451" s="1"/>
  <c r="AE368"/>
  <c r="AF368" s="1"/>
  <c r="AE352"/>
  <c r="AF352" s="1"/>
  <c r="AE777"/>
  <c r="AF777" s="1"/>
  <c r="AE801"/>
  <c r="AF801" s="1"/>
  <c r="AE558"/>
  <c r="AF558" s="1"/>
  <c r="AE380"/>
  <c r="AF380" s="1"/>
  <c r="AE103"/>
  <c r="AF103" s="1"/>
  <c r="AE334"/>
  <c r="AF334" s="1"/>
  <c r="AE489"/>
  <c r="AF489" s="1"/>
  <c r="AE517"/>
  <c r="AF517" s="1"/>
  <c r="AE330"/>
  <c r="AF330" s="1"/>
  <c r="AE605"/>
  <c r="AF605" s="1"/>
  <c r="AE176"/>
  <c r="AF176" s="1"/>
  <c r="AE552"/>
  <c r="AF552" s="1"/>
  <c r="AE705"/>
  <c r="AF705" s="1"/>
  <c r="AE641"/>
  <c r="AF641" s="1"/>
  <c r="AE453"/>
  <c r="AF453" s="1"/>
  <c r="AE449"/>
  <c r="AF449" s="1"/>
  <c r="AE108"/>
  <c r="AF108" s="1"/>
  <c r="AE418"/>
  <c r="AF418" s="1"/>
  <c r="AE306"/>
  <c r="AF306" s="1"/>
  <c r="AE588"/>
  <c r="AF588" s="1"/>
  <c r="AE788"/>
  <c r="AF788" s="1"/>
  <c r="AE106"/>
  <c r="AF106" s="1"/>
  <c r="AE569"/>
  <c r="AF569" s="1"/>
  <c r="AE775"/>
  <c r="AF775" s="1"/>
  <c r="AE576"/>
  <c r="AF576" s="1"/>
  <c r="AE575"/>
  <c r="AF575" s="1"/>
  <c r="AE766"/>
  <c r="AF766" s="1"/>
  <c r="AE101"/>
  <c r="AF101" s="1"/>
  <c r="AE564"/>
  <c r="AF564" s="1"/>
  <c r="AE797"/>
  <c r="AF797" s="1"/>
  <c r="AE769"/>
  <c r="AF769" s="1"/>
  <c r="AE555"/>
  <c r="AF555" s="1"/>
  <c r="AE491"/>
  <c r="AF491" s="1"/>
  <c r="AE400"/>
  <c r="AF400" s="1"/>
  <c r="AE781"/>
  <c r="AF781" s="1"/>
  <c r="AE388"/>
  <c r="AF388" s="1"/>
  <c r="AE99"/>
  <c r="AF99" s="1"/>
  <c r="AE476"/>
  <c r="AF476" s="1"/>
  <c r="AE508"/>
  <c r="AF508" s="1"/>
  <c r="AE260"/>
  <c r="AF260" s="1"/>
  <c r="AE500"/>
  <c r="AF500" s="1"/>
  <c r="AE283"/>
  <c r="AF283" s="1"/>
  <c r="AE497"/>
  <c r="AE56"/>
  <c r="AF56" s="1"/>
  <c r="AE58"/>
  <c r="AF58" s="1"/>
  <c r="AE153"/>
  <c r="AF153" s="1"/>
  <c r="AE549"/>
  <c r="AF549" s="1"/>
  <c r="AE544"/>
  <c r="AF544" s="1"/>
  <c r="AE697"/>
  <c r="AF697" s="1"/>
  <c r="AE189"/>
  <c r="AF189" s="1"/>
  <c r="AE190"/>
  <c r="AF190" s="1"/>
  <c r="AE694"/>
  <c r="AF694" s="1"/>
  <c r="AE211"/>
  <c r="AF211" s="1"/>
  <c r="AE717"/>
  <c r="AF717" s="1"/>
  <c r="AE701"/>
  <c r="AF701" s="1"/>
  <c r="AE216"/>
  <c r="AF216" s="1"/>
  <c r="AE720"/>
  <c r="AF720" s="1"/>
  <c r="AE703"/>
  <c r="AF703" s="1"/>
  <c r="AE94"/>
  <c r="AF94" s="1"/>
  <c r="AE620"/>
  <c r="AF620" s="1"/>
  <c r="AE651"/>
  <c r="AF651" s="1"/>
  <c r="AE643"/>
  <c r="AF643" s="1"/>
  <c r="AE357"/>
  <c r="AF357" s="1"/>
  <c r="AE893"/>
  <c r="AF893" s="1"/>
  <c r="AE735"/>
  <c r="AF735" s="1"/>
  <c r="AE881"/>
  <c r="AF881" s="1"/>
  <c r="AE876"/>
  <c r="AF876" s="1"/>
  <c r="AE724"/>
  <c r="AF724" s="1"/>
  <c r="AE728"/>
  <c r="AF728" s="1"/>
  <c r="AE516"/>
  <c r="AF516" s="1"/>
  <c r="AE539"/>
  <c r="AF539" s="1"/>
  <c r="AE445"/>
  <c r="AF445" s="1"/>
  <c r="AE432"/>
  <c r="AF432" s="1"/>
  <c r="AE492"/>
  <c r="AF492" s="1"/>
  <c r="AE341"/>
  <c r="AF341" s="1"/>
  <c r="AE772"/>
  <c r="AF772" s="1"/>
  <c r="AE475"/>
  <c r="AF475" s="1"/>
  <c r="AE122"/>
  <c r="AF122" s="1"/>
  <c r="AE780"/>
  <c r="AF780" s="1"/>
  <c r="AE105"/>
  <c r="AF105" s="1"/>
  <c r="AE836"/>
  <c r="AF836" s="1"/>
  <c r="AE480"/>
  <c r="AF480" s="1"/>
  <c r="AE556"/>
  <c r="AF556" s="1"/>
  <c r="AE482"/>
  <c r="AF482" s="1"/>
  <c r="AE817"/>
  <c r="AF817" s="1"/>
  <c r="AE66"/>
  <c r="AF66" s="1"/>
  <c r="AE470"/>
  <c r="AF470" s="1"/>
  <c r="AE336"/>
  <c r="AF336" s="1"/>
  <c r="AE402"/>
  <c r="AF402" s="1"/>
  <c r="AE570"/>
  <c r="AF570" s="1"/>
  <c r="AE793"/>
  <c r="AF793" s="1"/>
  <c r="AE384"/>
  <c r="AF384" s="1"/>
  <c r="AE398"/>
  <c r="AF398" s="1"/>
  <c r="AE524"/>
  <c r="AF524" s="1"/>
  <c r="AE328"/>
  <c r="AF328" s="1"/>
  <c r="AE327"/>
  <c r="AF327" s="1"/>
  <c r="AE266"/>
  <c r="AF266" s="1"/>
  <c r="AE49"/>
  <c r="AF49" s="1"/>
  <c r="AE160"/>
  <c r="AF160" s="1"/>
  <c r="AE168"/>
  <c r="AF168" s="1"/>
  <c r="AE155"/>
  <c r="AF155" s="1"/>
  <c r="AE715"/>
  <c r="AF715" s="1"/>
  <c r="AE188"/>
  <c r="AF188" s="1"/>
  <c r="AE213"/>
  <c r="AF213" s="1"/>
  <c r="AE841"/>
  <c r="AF841" s="1"/>
  <c r="AE718"/>
  <c r="AF718" s="1"/>
  <c r="AE205"/>
  <c r="AF205" s="1"/>
  <c r="AE248"/>
  <c r="AF248" s="1"/>
  <c r="AE698"/>
  <c r="AF698" s="1"/>
  <c r="AE716"/>
  <c r="AF716" s="1"/>
  <c r="AE92"/>
  <c r="AF92" s="1"/>
  <c r="AE630"/>
  <c r="AF630" s="1"/>
  <c r="AE635"/>
  <c r="AF635" s="1"/>
  <c r="AE93"/>
  <c r="AF93" s="1"/>
  <c r="AE397"/>
  <c r="AF397" s="1"/>
  <c r="AE686"/>
  <c r="AF686" s="1"/>
  <c r="AE887"/>
  <c r="AF887" s="1"/>
  <c r="AE739"/>
  <c r="AF739" s="1"/>
  <c r="AE737"/>
  <c r="AF737" s="1"/>
  <c r="AE633"/>
  <c r="AF633" s="1"/>
  <c r="AE285"/>
  <c r="AF285" s="1"/>
  <c r="AF255"/>
  <c r="AF256" s="1"/>
  <c r="AE726"/>
  <c r="AF726" s="1"/>
  <c r="AE882"/>
  <c r="AF882" s="1"/>
  <c r="AE689"/>
  <c r="AF689" s="1"/>
  <c r="AE120"/>
  <c r="AF120" s="1"/>
  <c r="AC146"/>
  <c r="AE145"/>
  <c r="AE146" s="1"/>
  <c r="AE20"/>
  <c r="AF20" s="1"/>
  <c r="AE26"/>
  <c r="AF26" s="1"/>
  <c r="AE12"/>
  <c r="AF12" s="1"/>
  <c r="AE32"/>
  <c r="AF32" s="1"/>
  <c r="AE22"/>
  <c r="AF22" s="1"/>
  <c r="AE15"/>
  <c r="AF15" s="1"/>
  <c r="AE24"/>
  <c r="AF24" s="1"/>
  <c r="AE25"/>
  <c r="AF25" s="1"/>
  <c r="AE27"/>
  <c r="AF27" s="1"/>
  <c r="AE18"/>
  <c r="AF18" s="1"/>
  <c r="AE85"/>
  <c r="AF85" s="1"/>
  <c r="AE14"/>
  <c r="AF14" s="1"/>
  <c r="T76" i="1"/>
  <c r="AC214" i="3"/>
  <c r="U709"/>
  <c r="AC372"/>
  <c r="AB375"/>
  <c r="AC44"/>
  <c r="AC582"/>
  <c r="AC463"/>
  <c r="W632"/>
  <c r="AB730"/>
  <c r="AC730" s="1"/>
  <c r="AB682"/>
  <c r="AB711"/>
  <c r="AC711" s="1"/>
  <c r="M674"/>
  <c r="M678" s="1"/>
  <c r="AB875"/>
  <c r="AC875" s="1"/>
  <c r="S626"/>
  <c r="AB729"/>
  <c r="AC729" s="1"/>
  <c r="AB860"/>
  <c r="AC860" s="1"/>
  <c r="AB878"/>
  <c r="AC878" s="1"/>
  <c r="AB880"/>
  <c r="AC880" s="1"/>
  <c r="AC680"/>
  <c r="L709"/>
  <c r="L898" s="1"/>
  <c r="W606"/>
  <c r="AB232"/>
  <c r="AC232" s="1"/>
  <c r="AB197"/>
  <c r="AC197" s="1"/>
  <c r="AB186"/>
  <c r="AC186" s="1"/>
  <c r="AB612"/>
  <c r="AC612" s="1"/>
  <c r="AB228"/>
  <c r="AC228" s="1"/>
  <c r="AB226"/>
  <c r="AC226" s="1"/>
  <c r="AC55"/>
  <c r="AB152"/>
  <c r="AC152" s="1"/>
  <c r="AB148"/>
  <c r="AC148" s="1"/>
  <c r="N669"/>
  <c r="N672" s="1"/>
  <c r="AB151"/>
  <c r="AC151" s="1"/>
  <c r="AB540"/>
  <c r="AB547"/>
  <c r="AC547" s="1"/>
  <c r="AB170"/>
  <c r="AC170" s="1"/>
  <c r="AB167"/>
  <c r="AC167" s="1"/>
  <c r="AB601"/>
  <c r="AB150"/>
  <c r="AC150" s="1"/>
  <c r="AA172"/>
  <c r="AA182" s="1"/>
  <c r="AB11"/>
  <c r="AC11" s="1"/>
  <c r="AB40"/>
  <c r="AC40" s="1"/>
  <c r="AB41"/>
  <c r="AC41" s="1"/>
  <c r="AB42"/>
  <c r="AC42" s="1"/>
  <c r="AB36"/>
  <c r="AC36" s="1"/>
  <c r="AB13"/>
  <c r="AC13" s="1"/>
  <c r="AB9"/>
  <c r="AC9" s="1"/>
  <c r="AB16"/>
  <c r="AC16" s="1"/>
  <c r="AB2"/>
  <c r="AB320"/>
  <c r="AB332" s="1"/>
  <c r="AB499"/>
  <c r="AC499" s="1"/>
  <c r="AB262"/>
  <c r="AC262" s="1"/>
  <c r="AB759"/>
  <c r="AC759" s="1"/>
  <c r="AB755"/>
  <c r="AC755" s="1"/>
  <c r="AB762"/>
  <c r="AC762" s="1"/>
  <c r="AB102"/>
  <c r="AC102" s="1"/>
  <c r="AB765"/>
  <c r="AC765" s="1"/>
  <c r="AB802"/>
  <c r="AC802" s="1"/>
  <c r="AB819"/>
  <c r="AC819" s="1"/>
  <c r="AB104"/>
  <c r="AC104" s="1"/>
  <c r="AB344"/>
  <c r="AC344" s="1"/>
  <c r="AB554"/>
  <c r="AB473"/>
  <c r="AC473" s="1"/>
  <c r="AB411"/>
  <c r="AB757"/>
  <c r="AC757" s="1"/>
  <c r="AB753"/>
  <c r="AC753" s="1"/>
  <c r="AB758"/>
  <c r="AC758" s="1"/>
  <c r="AB560"/>
  <c r="AC560" s="1"/>
  <c r="AB333"/>
  <c r="AB791"/>
  <c r="AC791" s="1"/>
  <c r="AB763"/>
  <c r="AC763" s="1"/>
  <c r="AB138"/>
  <c r="AB297"/>
  <c r="AC297" s="1"/>
  <c r="AB767"/>
  <c r="AC767" s="1"/>
  <c r="AB100"/>
  <c r="AC100" s="1"/>
  <c r="AB98"/>
  <c r="AC98" s="1"/>
  <c r="AB474"/>
  <c r="AC474" s="1"/>
  <c r="AB760"/>
  <c r="AC760" s="1"/>
  <c r="AB377"/>
  <c r="AB752"/>
  <c r="AC752" s="1"/>
  <c r="AB299"/>
  <c r="AC299" s="1"/>
  <c r="AB416"/>
  <c r="AC416" s="1"/>
  <c r="AB562"/>
  <c r="AC562" s="1"/>
  <c r="AB107"/>
  <c r="AC107" s="1"/>
  <c r="AB830"/>
  <c r="AC830" s="1"/>
  <c r="AB477"/>
  <c r="AC477" s="1"/>
  <c r="AB804"/>
  <c r="AC804" s="1"/>
  <c r="AB435"/>
  <c r="AC435" s="1"/>
  <c r="AB441"/>
  <c r="AC441" s="1"/>
  <c r="AB438"/>
  <c r="AC438" s="1"/>
  <c r="AB437"/>
  <c r="AC437" s="1"/>
  <c r="AC431"/>
  <c r="H21" i="2"/>
  <c r="R2" i="1"/>
  <c r="P10"/>
  <c r="R9"/>
  <c r="Q70"/>
  <c r="R70" s="1"/>
  <c r="P87"/>
  <c r="R81"/>
  <c r="Z840" i="3"/>
  <c r="Z225"/>
  <c r="P657"/>
  <c r="Z65"/>
  <c r="Z84" s="1"/>
  <c r="Y498"/>
  <c r="Y684"/>
  <c r="Z684" s="1"/>
  <c r="Y761"/>
  <c r="Z761" s="1"/>
  <c r="W319"/>
  <c r="Y301"/>
  <c r="Z301" s="1"/>
  <c r="Y7"/>
  <c r="Z7" s="1"/>
  <c r="Y436"/>
  <c r="Z436" s="1"/>
  <c r="Y754"/>
  <c r="Z754" s="1"/>
  <c r="Y230"/>
  <c r="Z230" s="1"/>
  <c r="Y559"/>
  <c r="Z559" s="1"/>
  <c r="Y433"/>
  <c r="Z433" s="1"/>
  <c r="Y159"/>
  <c r="Z159" s="1"/>
  <c r="Y414"/>
  <c r="Z414" s="1"/>
  <c r="Y685"/>
  <c r="Z685" s="1"/>
  <c r="Y183"/>
  <c r="Y557"/>
  <c r="Z557" s="1"/>
  <c r="Z141"/>
  <c r="Y8"/>
  <c r="Z8" s="1"/>
  <c r="Y6"/>
  <c r="Y231"/>
  <c r="Z231" s="1"/>
  <c r="Y35"/>
  <c r="Y690"/>
  <c r="Z690" s="1"/>
  <c r="Y382"/>
  <c r="Z382" s="1"/>
  <c r="Y869"/>
  <c r="Z869" s="1"/>
  <c r="Y610"/>
  <c r="Z610" s="1"/>
  <c r="Y879"/>
  <c r="Z879" s="1"/>
  <c r="Y541"/>
  <c r="Z541" s="1"/>
  <c r="Z163"/>
  <c r="Z859"/>
  <c r="Z828"/>
  <c r="Z602"/>
  <c r="AB602" s="1"/>
  <c r="Z147"/>
  <c r="Z296"/>
  <c r="M8" i="1"/>
  <c r="I18" i="2" s="1"/>
  <c r="O7" i="1"/>
  <c r="P7" s="1"/>
  <c r="H19" i="2"/>
  <c r="J19"/>
  <c r="H22"/>
  <c r="J22"/>
  <c r="O94" i="1"/>
  <c r="P94" s="1"/>
  <c r="M95"/>
  <c r="I26" i="2" s="1"/>
  <c r="O15" i="1"/>
  <c r="P15" s="1"/>
  <c r="M65"/>
  <c r="O90"/>
  <c r="P90" s="1"/>
  <c r="M93"/>
  <c r="I24" i="2" s="1"/>
  <c r="H9"/>
  <c r="Q622" i="3"/>
  <c r="V722"/>
  <c r="V750" s="1"/>
  <c r="Q95"/>
  <c r="V430"/>
  <c r="V319"/>
  <c r="U95"/>
  <c r="U898" s="1"/>
  <c r="S95"/>
  <c r="T295"/>
  <c r="S5"/>
  <c r="T166"/>
  <c r="V166" s="1"/>
  <c r="V182" s="1"/>
  <c r="W595"/>
  <c r="W501"/>
  <c r="W842"/>
  <c r="W858" s="1"/>
  <c r="V751"/>
  <c r="W751" s="1"/>
  <c r="T5"/>
  <c r="V4"/>
  <c r="V756"/>
  <c r="W756" s="1"/>
  <c r="T496"/>
  <c r="V469"/>
  <c r="V496" s="1"/>
  <c r="T162"/>
  <c r="V149"/>
  <c r="V162" s="1"/>
  <c r="T95"/>
  <c r="V88"/>
  <c r="W88" s="1"/>
  <c r="V379"/>
  <c r="W379" s="1"/>
  <c r="T224"/>
  <c r="V185"/>
  <c r="V224" s="1"/>
  <c r="T332"/>
  <c r="V332"/>
  <c r="T367"/>
  <c r="V337"/>
  <c r="V367" s="1"/>
  <c r="V692"/>
  <c r="W692" s="1"/>
  <c r="V688"/>
  <c r="W688" s="1"/>
  <c r="V862"/>
  <c r="W862" s="1"/>
  <c r="W257"/>
  <c r="W413"/>
  <c r="W134"/>
  <c r="W137" s="1"/>
  <c r="W712"/>
  <c r="V670"/>
  <c r="W670" s="1"/>
  <c r="V607"/>
  <c r="V618" s="1"/>
  <c r="W829"/>
  <c r="S37"/>
  <c r="Q64"/>
  <c r="S861"/>
  <c r="Q873"/>
  <c r="S378"/>
  <c r="S409" s="1"/>
  <c r="Q409"/>
  <c r="Q561"/>
  <c r="P594"/>
  <c r="P606" s="1"/>
  <c r="P618" s="1"/>
  <c r="T455"/>
  <c r="Q468"/>
  <c r="Q96"/>
  <c r="P133"/>
  <c r="Q369"/>
  <c r="Q683"/>
  <c r="S227"/>
  <c r="Q254"/>
  <c r="Q256" s="1"/>
  <c r="S10"/>
  <c r="Q34"/>
  <c r="Q827"/>
  <c r="T140"/>
  <c r="T144" s="1"/>
  <c r="S144"/>
  <c r="S839"/>
  <c r="S550"/>
  <c r="S553" s="1"/>
  <c r="Q553"/>
  <c r="T874"/>
  <c r="AF497" l="1"/>
  <c r="R87" i="1"/>
  <c r="S81"/>
  <c r="S87" s="1"/>
  <c r="R10"/>
  <c r="T9"/>
  <c r="V76"/>
  <c r="S70"/>
  <c r="T70" s="1"/>
  <c r="S2"/>
  <c r="AF619" i="3"/>
  <c r="AF212"/>
  <c r="AE431"/>
  <c r="AE435"/>
  <c r="AF435" s="1"/>
  <c r="AE107"/>
  <c r="AF107" s="1"/>
  <c r="AE752"/>
  <c r="AF752" s="1"/>
  <c r="AE474"/>
  <c r="AF474" s="1"/>
  <c r="AE297"/>
  <c r="AF297" s="1"/>
  <c r="AE757"/>
  <c r="AF757" s="1"/>
  <c r="AE344"/>
  <c r="AF344" s="1"/>
  <c r="AE765"/>
  <c r="AF765" s="1"/>
  <c r="AE762"/>
  <c r="AF762" s="1"/>
  <c r="AE262"/>
  <c r="AF262" s="1"/>
  <c r="AE42"/>
  <c r="AF42" s="1"/>
  <c r="AE170"/>
  <c r="AF170" s="1"/>
  <c r="AE226"/>
  <c r="AF226" s="1"/>
  <c r="AE197"/>
  <c r="AF197" s="1"/>
  <c r="AE680"/>
  <c r="AF680" s="1"/>
  <c r="AE860"/>
  <c r="AF860" s="1"/>
  <c r="AE875"/>
  <c r="AF875" s="1"/>
  <c r="AE582"/>
  <c r="AF582" s="1"/>
  <c r="AF145"/>
  <c r="AF146" s="1"/>
  <c r="AE760"/>
  <c r="AF760" s="1"/>
  <c r="AE151"/>
  <c r="AF151" s="1"/>
  <c r="AE711"/>
  <c r="AF711" s="1"/>
  <c r="AE463"/>
  <c r="AF463" s="1"/>
  <c r="AE830"/>
  <c r="AF830" s="1"/>
  <c r="AE767"/>
  <c r="AF767" s="1"/>
  <c r="AE753"/>
  <c r="AF753" s="1"/>
  <c r="AE167"/>
  <c r="AF167" s="1"/>
  <c r="AE55"/>
  <c r="AF55" s="1"/>
  <c r="AE438"/>
  <c r="AF438" s="1"/>
  <c r="AE477"/>
  <c r="AF477" s="1"/>
  <c r="AE416"/>
  <c r="AF416" s="1"/>
  <c r="AE100"/>
  <c r="AF100" s="1"/>
  <c r="AE763"/>
  <c r="AF763" s="1"/>
  <c r="AE758"/>
  <c r="AF758" s="1"/>
  <c r="AE473"/>
  <c r="AF473" s="1"/>
  <c r="AE819"/>
  <c r="AF819" s="1"/>
  <c r="AE102"/>
  <c r="AF102" s="1"/>
  <c r="AE759"/>
  <c r="AF759" s="1"/>
  <c r="AE40"/>
  <c r="AF40" s="1"/>
  <c r="AE152"/>
  <c r="AF152" s="1"/>
  <c r="AE612"/>
  <c r="AF612" s="1"/>
  <c r="AE878"/>
  <c r="AF878" s="1"/>
  <c r="AE214"/>
  <c r="AF214" s="1"/>
  <c r="AE441"/>
  <c r="AF441" s="1"/>
  <c r="AE299"/>
  <c r="AF299" s="1"/>
  <c r="AE791"/>
  <c r="AE802"/>
  <c r="AF802" s="1"/>
  <c r="AE36"/>
  <c r="AF36" s="1"/>
  <c r="AE186"/>
  <c r="AF186" s="1"/>
  <c r="AE437"/>
  <c r="AF437" s="1"/>
  <c r="AE804"/>
  <c r="AF804" s="1"/>
  <c r="AE562"/>
  <c r="AF562" s="1"/>
  <c r="AE98"/>
  <c r="AF98" s="1"/>
  <c r="AE560"/>
  <c r="AF560" s="1"/>
  <c r="AE104"/>
  <c r="AF104" s="1"/>
  <c r="AE755"/>
  <c r="AF755" s="1"/>
  <c r="AE499"/>
  <c r="AF499" s="1"/>
  <c r="AE41"/>
  <c r="AF41" s="1"/>
  <c r="AE150"/>
  <c r="AF150" s="1"/>
  <c r="AE547"/>
  <c r="AF547" s="1"/>
  <c r="AE148"/>
  <c r="AF148" s="1"/>
  <c r="AE228"/>
  <c r="AF228" s="1"/>
  <c r="AE232"/>
  <c r="AF232" s="1"/>
  <c r="AE880"/>
  <c r="AF880" s="1"/>
  <c r="AE729"/>
  <c r="AF729" s="1"/>
  <c r="AE730"/>
  <c r="AF730" s="1"/>
  <c r="AE44"/>
  <c r="AF44" s="1"/>
  <c r="AE16"/>
  <c r="AF16" s="1"/>
  <c r="AE11"/>
  <c r="AF11" s="1"/>
  <c r="AC375"/>
  <c r="AE372"/>
  <c r="AE375" s="1"/>
  <c r="AE13"/>
  <c r="AF13" s="1"/>
  <c r="AE9"/>
  <c r="AF9" s="1"/>
  <c r="Z319"/>
  <c r="M709"/>
  <c r="M898" s="1"/>
  <c r="AC2"/>
  <c r="AE2" s="1"/>
  <c r="AC682"/>
  <c r="AC540"/>
  <c r="AB606"/>
  <c r="AC411"/>
  <c r="N12" i="2"/>
  <c r="AC333" i="3"/>
  <c r="T626"/>
  <c r="N674"/>
  <c r="N678" s="1"/>
  <c r="AB859"/>
  <c r="AC859" s="1"/>
  <c r="AB685"/>
  <c r="AC685" s="1"/>
  <c r="AB684"/>
  <c r="AC684" s="1"/>
  <c r="Y632"/>
  <c r="AB879"/>
  <c r="AC879" s="1"/>
  <c r="AB690"/>
  <c r="AC690" s="1"/>
  <c r="AC554"/>
  <c r="AB869"/>
  <c r="AC869" s="1"/>
  <c r="AC377"/>
  <c r="AB840"/>
  <c r="AB231"/>
  <c r="AC231" s="1"/>
  <c r="AB230"/>
  <c r="AC230" s="1"/>
  <c r="AB225"/>
  <c r="AB610"/>
  <c r="AC610" s="1"/>
  <c r="AB541"/>
  <c r="AC541" s="1"/>
  <c r="AB147"/>
  <c r="AB163"/>
  <c r="P669"/>
  <c r="P672" s="1"/>
  <c r="AC601"/>
  <c r="AB172"/>
  <c r="AC172" s="1"/>
  <c r="AB8"/>
  <c r="AC8" s="1"/>
  <c r="AB7"/>
  <c r="AC7" s="1"/>
  <c r="AC320"/>
  <c r="AD320" s="1"/>
  <c r="AB141"/>
  <c r="AC141" s="1"/>
  <c r="AB559"/>
  <c r="AC559" s="1"/>
  <c r="AB761"/>
  <c r="AC761" s="1"/>
  <c r="AB296"/>
  <c r="AB828"/>
  <c r="AB65"/>
  <c r="AB84" s="1"/>
  <c r="Z606"/>
  <c r="AC602"/>
  <c r="AB382"/>
  <c r="AC382" s="1"/>
  <c r="AB754"/>
  <c r="AC754" s="1"/>
  <c r="AB557"/>
  <c r="AC557" s="1"/>
  <c r="AB414"/>
  <c r="AC414" s="1"/>
  <c r="AB301"/>
  <c r="AC301" s="1"/>
  <c r="AC138"/>
  <c r="AB433"/>
  <c r="AB436"/>
  <c r="AC436" s="1"/>
  <c r="P8" i="1"/>
  <c r="R7"/>
  <c r="R8" s="1"/>
  <c r="P93"/>
  <c r="R90"/>
  <c r="P65"/>
  <c r="Q15"/>
  <c r="P95"/>
  <c r="R94"/>
  <c r="Z183" i="3"/>
  <c r="Z35"/>
  <c r="Q657"/>
  <c r="Y319"/>
  <c r="Y829"/>
  <c r="Y670"/>
  <c r="Y134"/>
  <c r="Y137" s="1"/>
  <c r="W295"/>
  <c r="Y257"/>
  <c r="Y295" s="1"/>
  <c r="Y688"/>
  <c r="Z688" s="1"/>
  <c r="Y379"/>
  <c r="Z379" s="1"/>
  <c r="Y751"/>
  <c r="W538"/>
  <c r="Y501"/>
  <c r="Z501" s="1"/>
  <c r="W721"/>
  <c r="Y712"/>
  <c r="Z712" s="1"/>
  <c r="AB712" s="1"/>
  <c r="W430"/>
  <c r="Y413"/>
  <c r="Y430" s="1"/>
  <c r="Y862"/>
  <c r="Z862" s="1"/>
  <c r="Y692"/>
  <c r="Z692" s="1"/>
  <c r="Y88"/>
  <c r="Z88" s="1"/>
  <c r="Y756"/>
  <c r="Z756" s="1"/>
  <c r="Y842"/>
  <c r="Y858" s="1"/>
  <c r="W600"/>
  <c r="Y595"/>
  <c r="Y600" s="1"/>
  <c r="Z6"/>
  <c r="Z498"/>
  <c r="J18" i="2"/>
  <c r="H18"/>
  <c r="H24"/>
  <c r="J24"/>
  <c r="H26"/>
  <c r="J26"/>
  <c r="I20"/>
  <c r="J20" s="1"/>
  <c r="M96" i="1"/>
  <c r="S622" i="3"/>
  <c r="S657" s="1"/>
  <c r="W722"/>
  <c r="T182"/>
  <c r="V95"/>
  <c r="W337"/>
  <c r="W367" s="1"/>
  <c r="S254"/>
  <c r="S256" s="1"/>
  <c r="W607"/>
  <c r="W185"/>
  <c r="W224" s="1"/>
  <c r="W149"/>
  <c r="T897"/>
  <c r="V874"/>
  <c r="V897" s="1"/>
  <c r="T839"/>
  <c r="V839"/>
  <c r="V140"/>
  <c r="V144" s="1"/>
  <c r="T468"/>
  <c r="V455"/>
  <c r="V468" s="1"/>
  <c r="V5"/>
  <c r="W166"/>
  <c r="W469"/>
  <c r="W496" s="1"/>
  <c r="W4"/>
  <c r="Y4" s="1"/>
  <c r="T861"/>
  <c r="S873"/>
  <c r="T37"/>
  <c r="S64"/>
  <c r="S683"/>
  <c r="Q371"/>
  <c r="T369"/>
  <c r="S96"/>
  <c r="Q133"/>
  <c r="S561"/>
  <c r="Q594"/>
  <c r="Q606" s="1"/>
  <c r="Q618" s="1"/>
  <c r="T550"/>
  <c r="T227"/>
  <c r="T378"/>
  <c r="S827"/>
  <c r="T10"/>
  <c r="S34"/>
  <c r="S7" i="1" l="1"/>
  <c r="T7" s="1"/>
  <c r="U70"/>
  <c r="V70" s="1"/>
  <c r="T10"/>
  <c r="O19" i="2" s="1"/>
  <c r="N19" s="1"/>
  <c r="V9" i="1"/>
  <c r="V10" s="1"/>
  <c r="Q19" i="2" s="1"/>
  <c r="S8" i="1"/>
  <c r="T2"/>
  <c r="T81"/>
  <c r="R95"/>
  <c r="T94"/>
  <c r="R93"/>
  <c r="T90"/>
  <c r="AF791" i="3"/>
  <c r="AD332"/>
  <c r="AD898" s="1"/>
  <c r="AE754"/>
  <c r="AF754" s="1"/>
  <c r="AE436"/>
  <c r="AF436" s="1"/>
  <c r="AE414"/>
  <c r="AF414" s="1"/>
  <c r="AE602"/>
  <c r="AF602" s="1"/>
  <c r="AE601"/>
  <c r="AE541"/>
  <c r="AF541" s="1"/>
  <c r="AE231"/>
  <c r="AF231" s="1"/>
  <c r="AE682"/>
  <c r="AF682" s="1"/>
  <c r="AE559"/>
  <c r="AF559" s="1"/>
  <c r="AE690"/>
  <c r="AF690" s="1"/>
  <c r="AE685"/>
  <c r="AF685" s="1"/>
  <c r="AE301"/>
  <c r="AF301" s="1"/>
  <c r="AE382"/>
  <c r="AF382" s="1"/>
  <c r="AE141"/>
  <c r="AF141" s="1"/>
  <c r="AE172"/>
  <c r="AF172" s="1"/>
  <c r="AE230"/>
  <c r="AF230" s="1"/>
  <c r="AE869"/>
  <c r="AF869" s="1"/>
  <c r="AE879"/>
  <c r="AF879" s="1"/>
  <c r="AE859"/>
  <c r="AE333"/>
  <c r="AE540"/>
  <c r="AF372"/>
  <c r="AF375" s="1"/>
  <c r="AF431"/>
  <c r="AE557"/>
  <c r="AF557" s="1"/>
  <c r="AE761"/>
  <c r="AF761" s="1"/>
  <c r="AE610"/>
  <c r="AF610" s="1"/>
  <c r="AE554"/>
  <c r="AE684"/>
  <c r="AF684" s="1"/>
  <c r="AE411"/>
  <c r="AC332"/>
  <c r="AE320"/>
  <c r="AE332" s="1"/>
  <c r="AE8"/>
  <c r="AF8" s="1"/>
  <c r="AE377"/>
  <c r="AE138"/>
  <c r="AE7"/>
  <c r="AF7" s="1"/>
  <c r="AB319"/>
  <c r="Z538"/>
  <c r="AC828"/>
  <c r="AC147"/>
  <c r="AC225"/>
  <c r="AC606"/>
  <c r="AC163"/>
  <c r="AC840"/>
  <c r="N709"/>
  <c r="N898" s="1"/>
  <c r="AB721"/>
  <c r="V626"/>
  <c r="AB862"/>
  <c r="AC862" s="1"/>
  <c r="Z632"/>
  <c r="AB632" s="1"/>
  <c r="AC632" s="1"/>
  <c r="AB688"/>
  <c r="AC688" s="1"/>
  <c r="P674"/>
  <c r="P678" s="1"/>
  <c r="AB88"/>
  <c r="AB95" s="1"/>
  <c r="AB692"/>
  <c r="AB183"/>
  <c r="Q669"/>
  <c r="Q672" s="1"/>
  <c r="AB159"/>
  <c r="AC159" s="1"/>
  <c r="AB35"/>
  <c r="AB6"/>
  <c r="AB498"/>
  <c r="AC65"/>
  <c r="AB501"/>
  <c r="AC501" s="1"/>
  <c r="AB756"/>
  <c r="AC756" s="1"/>
  <c r="AB379"/>
  <c r="AC379" s="1"/>
  <c r="Z721"/>
  <c r="AC712"/>
  <c r="AC296"/>
  <c r="AC433"/>
  <c r="R15" i="1"/>
  <c r="Q65"/>
  <c r="Y721" i="3"/>
  <c r="T622"/>
  <c r="S669"/>
  <c r="S672" s="1"/>
  <c r="Y538"/>
  <c r="Z134"/>
  <c r="AB134" s="1"/>
  <c r="AB137" s="1"/>
  <c r="Z595"/>
  <c r="AB595" s="1"/>
  <c r="AB600" s="1"/>
  <c r="Z842"/>
  <c r="AB842" s="1"/>
  <c r="AB858" s="1"/>
  <c r="W182"/>
  <c r="Y166"/>
  <c r="Y182" s="1"/>
  <c r="W162"/>
  <c r="Y149"/>
  <c r="Y162" s="1"/>
  <c r="W618"/>
  <c r="Y607"/>
  <c r="Y618" s="1"/>
  <c r="W332"/>
  <c r="Y332"/>
  <c r="Y469"/>
  <c r="Y496" s="1"/>
  <c r="W95"/>
  <c r="Y95"/>
  <c r="Y185"/>
  <c r="Y224" s="1"/>
  <c r="Y337"/>
  <c r="W750"/>
  <c r="Y722"/>
  <c r="Y750" s="1"/>
  <c r="Y827"/>
  <c r="Z413"/>
  <c r="Z430" s="1"/>
  <c r="Z751"/>
  <c r="Z257"/>
  <c r="Z829"/>
  <c r="Z4"/>
  <c r="AB4" s="1"/>
  <c r="AB5" s="1"/>
  <c r="Y5"/>
  <c r="J27" i="2"/>
  <c r="H20"/>
  <c r="I27"/>
  <c r="H10"/>
  <c r="W140" i="3"/>
  <c r="W144" s="1"/>
  <c r="W874"/>
  <c r="T683"/>
  <c r="W455"/>
  <c r="T409"/>
  <c r="V378"/>
  <c r="V409" s="1"/>
  <c r="T371"/>
  <c r="V369"/>
  <c r="V371" s="1"/>
  <c r="T64"/>
  <c r="V37"/>
  <c r="V64" s="1"/>
  <c r="T873"/>
  <c r="V861"/>
  <c r="V873" s="1"/>
  <c r="V10"/>
  <c r="V34" s="1"/>
  <c r="T827"/>
  <c r="V827"/>
  <c r="T254"/>
  <c r="V227"/>
  <c r="T553"/>
  <c r="V550"/>
  <c r="V553" s="1"/>
  <c r="W5"/>
  <c r="W839"/>
  <c r="T561"/>
  <c r="S594"/>
  <c r="S606" s="1"/>
  <c r="S618" s="1"/>
  <c r="T96"/>
  <c r="S133"/>
  <c r="T34"/>
  <c r="V90" i="1" l="1"/>
  <c r="V93" s="1"/>
  <c r="Q24" i="2" s="1"/>
  <c r="T93" i="1"/>
  <c r="O24" i="2" s="1"/>
  <c r="N24" s="1"/>
  <c r="U81" i="1"/>
  <c r="U87" s="1"/>
  <c r="T87"/>
  <c r="O22" i="2" s="1"/>
  <c r="N22" s="1"/>
  <c r="P19"/>
  <c r="R19" s="1"/>
  <c r="U7" i="1"/>
  <c r="V7" s="1"/>
  <c r="R65"/>
  <c r="T15"/>
  <c r="T95"/>
  <c r="O26" i="2" s="1"/>
  <c r="N26" s="1"/>
  <c r="V94" i="1"/>
  <c r="V95" s="1"/>
  <c r="Q26" i="2" s="1"/>
  <c r="U2" i="1"/>
  <c r="T8"/>
  <c r="AF2" i="3"/>
  <c r="AF377"/>
  <c r="AE606"/>
  <c r="AF606" s="1"/>
  <c r="AE159"/>
  <c r="AF159" s="1"/>
  <c r="AE862"/>
  <c r="AF862" s="1"/>
  <c r="AE840"/>
  <c r="AF840" s="1"/>
  <c r="AF138"/>
  <c r="AF411"/>
  <c r="AF333"/>
  <c r="AF601"/>
  <c r="AE501"/>
  <c r="AF501" s="1"/>
  <c r="AE632"/>
  <c r="AF632" s="1"/>
  <c r="AE756"/>
  <c r="AF756" s="1"/>
  <c r="AE688"/>
  <c r="AF688" s="1"/>
  <c r="AF320"/>
  <c r="AF332" s="1"/>
  <c r="AE433"/>
  <c r="AE379"/>
  <c r="AF379" s="1"/>
  <c r="AE828"/>
  <c r="AF554"/>
  <c r="AF540"/>
  <c r="AF859"/>
  <c r="AE225"/>
  <c r="AF225" s="1"/>
  <c r="AE296"/>
  <c r="AE319" s="1"/>
  <c r="AC319"/>
  <c r="AC721"/>
  <c r="AE712"/>
  <c r="AE721" s="1"/>
  <c r="AE163"/>
  <c r="AF163" s="1"/>
  <c r="AB257"/>
  <c r="AB295" s="1"/>
  <c r="Z295"/>
  <c r="AC84"/>
  <c r="AE65"/>
  <c r="AE84" s="1"/>
  <c r="AE147"/>
  <c r="AF147" s="1"/>
  <c r="AB538"/>
  <c r="P709"/>
  <c r="P898" s="1"/>
  <c r="AC6"/>
  <c r="AC183"/>
  <c r="S674"/>
  <c r="S678" s="1"/>
  <c r="Q674"/>
  <c r="Q678" s="1"/>
  <c r="W626"/>
  <c r="AC88"/>
  <c r="AC692"/>
  <c r="AC35"/>
  <c r="AC498"/>
  <c r="AC538" s="1"/>
  <c r="Z858"/>
  <c r="AC842"/>
  <c r="AB413"/>
  <c r="AB430" s="1"/>
  <c r="Z137"/>
  <c r="AC134"/>
  <c r="AB829"/>
  <c r="V683"/>
  <c r="Z5"/>
  <c r="AC4"/>
  <c r="Z827"/>
  <c r="AB751"/>
  <c r="AB827" s="1"/>
  <c r="Z600"/>
  <c r="AC595"/>
  <c r="Y140"/>
  <c r="Z140"/>
  <c r="V622"/>
  <c r="T657"/>
  <c r="Z185"/>
  <c r="Z722"/>
  <c r="AB722" s="1"/>
  <c r="AB750" s="1"/>
  <c r="Z166"/>
  <c r="AB166" s="1"/>
  <c r="AB182" s="1"/>
  <c r="Y839"/>
  <c r="Y367"/>
  <c r="W468"/>
  <c r="Y455"/>
  <c r="Y468" s="1"/>
  <c r="W897"/>
  <c r="Y874"/>
  <c r="Y897" s="1"/>
  <c r="Z337"/>
  <c r="Z367" s="1"/>
  <c r="Z469"/>
  <c r="Z607"/>
  <c r="AB607" s="1"/>
  <c r="AB618" s="1"/>
  <c r="Z149"/>
  <c r="H27" i="2"/>
  <c r="H12"/>
  <c r="W378" i="3"/>
  <c r="W409" s="1"/>
  <c r="W10"/>
  <c r="W861"/>
  <c r="V254"/>
  <c r="W227"/>
  <c r="W254" s="1"/>
  <c r="T133"/>
  <c r="V96"/>
  <c r="V133" s="1"/>
  <c r="T594"/>
  <c r="V561"/>
  <c r="V594" s="1"/>
  <c r="W550"/>
  <c r="W827"/>
  <c r="W37"/>
  <c r="W64" s="1"/>
  <c r="W369"/>
  <c r="H4" i="2"/>
  <c r="U8" i="1" l="1"/>
  <c r="P26" i="2"/>
  <c r="P24"/>
  <c r="R24" s="1"/>
  <c r="U15" i="1"/>
  <c r="U65" s="1"/>
  <c r="T65"/>
  <c r="O20" i="2" s="1"/>
  <c r="V2" i="1"/>
  <c r="V8" s="1"/>
  <c r="O18" i="2"/>
  <c r="V81" i="1"/>
  <c r="V87" s="1"/>
  <c r="Q22" i="2" s="1"/>
  <c r="AF712" i="3"/>
  <c r="AF721" s="1"/>
  <c r="AF296"/>
  <c r="AF319" s="1"/>
  <c r="AE692"/>
  <c r="AF692" s="1"/>
  <c r="AF828"/>
  <c r="AF433"/>
  <c r="AF65"/>
  <c r="AF84" s="1"/>
  <c r="AB149"/>
  <c r="AB162" s="1"/>
  <c r="Z162"/>
  <c r="AB185"/>
  <c r="AB224" s="1"/>
  <c r="Z224"/>
  <c r="AE88"/>
  <c r="AE95" s="1"/>
  <c r="AC95"/>
  <c r="AE183"/>
  <c r="AC257"/>
  <c r="AC295" s="1"/>
  <c r="AC137"/>
  <c r="AE134"/>
  <c r="AE137" s="1"/>
  <c r="AC858"/>
  <c r="AE842"/>
  <c r="AF842" s="1"/>
  <c r="AF858" s="1"/>
  <c r="AE35"/>
  <c r="AF35" s="1"/>
  <c r="AC600"/>
  <c r="AE595"/>
  <c r="AE600" s="1"/>
  <c r="AC5"/>
  <c r="AE4"/>
  <c r="AE498"/>
  <c r="AE538" s="1"/>
  <c r="AE6"/>
  <c r="AF6" s="1"/>
  <c r="Q709"/>
  <c r="Q898" s="1"/>
  <c r="S709"/>
  <c r="S898" s="1"/>
  <c r="Y626"/>
  <c r="Z626" s="1"/>
  <c r="AB626" s="1"/>
  <c r="AC626" s="1"/>
  <c r="T669"/>
  <c r="T672" s="1"/>
  <c r="W683"/>
  <c r="Y683" s="1"/>
  <c r="AC413"/>
  <c r="AC430" s="1"/>
  <c r="Z332"/>
  <c r="AC751"/>
  <c r="AC827" s="1"/>
  <c r="Z618"/>
  <c r="AC607"/>
  <c r="AB337"/>
  <c r="AB367" s="1"/>
  <c r="Z750"/>
  <c r="AC722"/>
  <c r="AB140"/>
  <c r="AC140" s="1"/>
  <c r="Z95"/>
  <c r="Z182"/>
  <c r="AC166"/>
  <c r="Z496"/>
  <c r="AB469"/>
  <c r="AB496" s="1"/>
  <c r="AC829"/>
  <c r="Z139"/>
  <c r="Y144"/>
  <c r="V657"/>
  <c r="W622"/>
  <c r="Z874"/>
  <c r="AB874" s="1"/>
  <c r="AB897" s="1"/>
  <c r="W371"/>
  <c r="Y369"/>
  <c r="Y371" s="1"/>
  <c r="Y37"/>
  <c r="Y64" s="1"/>
  <c r="W553"/>
  <c r="Y550"/>
  <c r="Y553" s="1"/>
  <c r="Y227"/>
  <c r="Y254" s="1"/>
  <c r="W873"/>
  <c r="Y861"/>
  <c r="Y873" s="1"/>
  <c r="Y378"/>
  <c r="Y409" s="1"/>
  <c r="Z455"/>
  <c r="W34"/>
  <c r="Y10"/>
  <c r="Z10" s="1"/>
  <c r="I13" i="2"/>
  <c r="W561" i="3"/>
  <c r="W96"/>
  <c r="H13" i="2"/>
  <c r="V15" i="1" l="1"/>
  <c r="V65" s="1"/>
  <c r="Q20" i="2" s="1"/>
  <c r="P20" s="1"/>
  <c r="R20" s="1"/>
  <c r="P22"/>
  <c r="R22" s="1"/>
  <c r="N20"/>
  <c r="Q18"/>
  <c r="N18"/>
  <c r="AC185" i="3"/>
  <c r="AC224" s="1"/>
  <c r="AF183"/>
  <c r="AF498"/>
  <c r="AF538" s="1"/>
  <c r="AF595"/>
  <c r="AF600"/>
  <c r="AE140"/>
  <c r="AF140" s="1"/>
  <c r="AE626"/>
  <c r="AF626" s="1"/>
  <c r="AE858"/>
  <c r="AF134"/>
  <c r="AF137" s="1"/>
  <c r="AE829"/>
  <c r="AC149"/>
  <c r="AC162" s="1"/>
  <c r="AF88"/>
  <c r="AF95" s="1"/>
  <c r="AE5"/>
  <c r="AF4"/>
  <c r="AE751"/>
  <c r="AE827" s="1"/>
  <c r="AC750"/>
  <c r="AE722"/>
  <c r="AE750" s="1"/>
  <c r="AE413"/>
  <c r="AE430" s="1"/>
  <c r="AE166"/>
  <c r="AE182" s="1"/>
  <c r="AC182"/>
  <c r="AC618"/>
  <c r="AE607"/>
  <c r="AE618" s="1"/>
  <c r="AE257"/>
  <c r="AE295" s="1"/>
  <c r="Z468"/>
  <c r="AB455"/>
  <c r="AB468" s="1"/>
  <c r="T674"/>
  <c r="T678" s="1"/>
  <c r="V669"/>
  <c r="AB10"/>
  <c r="AB34" s="1"/>
  <c r="AC337"/>
  <c r="AC469"/>
  <c r="Z839"/>
  <c r="AB839"/>
  <c r="AB139"/>
  <c r="AB144" s="1"/>
  <c r="Z897"/>
  <c r="AC874"/>
  <c r="Z144"/>
  <c r="W657"/>
  <c r="Y622"/>
  <c r="Z227"/>
  <c r="Z550"/>
  <c r="Z683"/>
  <c r="Z378"/>
  <c r="Z409" s="1"/>
  <c r="W594"/>
  <c r="Y561"/>
  <c r="Y594" s="1"/>
  <c r="Z34"/>
  <c r="W133"/>
  <c r="Y96"/>
  <c r="Y133" s="1"/>
  <c r="Y34"/>
  <c r="Z861"/>
  <c r="AB861" s="1"/>
  <c r="AB873" s="1"/>
  <c r="Z37"/>
  <c r="Z369"/>
  <c r="I29" i="2"/>
  <c r="P66" i="1"/>
  <c r="P18" i="2" l="1"/>
  <c r="AE185" i="3"/>
  <c r="AE224" s="1"/>
  <c r="AE149"/>
  <c r="AE162" s="1"/>
  <c r="AF413"/>
  <c r="AF430" s="1"/>
  <c r="AF607"/>
  <c r="AF618" s="1"/>
  <c r="AF257"/>
  <c r="AF295" s="1"/>
  <c r="AF751"/>
  <c r="AF827" s="1"/>
  <c r="AF166"/>
  <c r="AF182" s="1"/>
  <c r="AF829"/>
  <c r="AF722"/>
  <c r="AF750" s="1"/>
  <c r="AF5"/>
  <c r="AC367"/>
  <c r="AE337"/>
  <c r="AE367" s="1"/>
  <c r="AC496"/>
  <c r="AE469"/>
  <c r="AE496" s="1"/>
  <c r="AC897"/>
  <c r="AE874"/>
  <c r="AE897" s="1"/>
  <c r="AB227"/>
  <c r="AB254" s="1"/>
  <c r="Z254"/>
  <c r="T709"/>
  <c r="T898" s="1"/>
  <c r="AB683"/>
  <c r="AB709" s="1"/>
  <c r="Z709"/>
  <c r="V672"/>
  <c r="V674" s="1"/>
  <c r="AB37"/>
  <c r="AB64" s="1"/>
  <c r="Z64"/>
  <c r="AB550"/>
  <c r="AB553" s="1"/>
  <c r="AA898"/>
  <c r="W669"/>
  <c r="W672" s="1"/>
  <c r="AC10"/>
  <c r="AC139"/>
  <c r="Z553"/>
  <c r="Z873"/>
  <c r="AC861"/>
  <c r="AB378"/>
  <c r="AB409" s="1"/>
  <c r="Z371"/>
  <c r="AB369"/>
  <c r="AB371" s="1"/>
  <c r="AC455"/>
  <c r="AC468" s="1"/>
  <c r="P80" i="1"/>
  <c r="P96" s="1"/>
  <c r="Q66"/>
  <c r="Y657" i="3"/>
  <c r="Z622"/>
  <c r="Z561"/>
  <c r="Z594" s="1"/>
  <c r="Z96"/>
  <c r="AC227" l="1"/>
  <c r="AC254" s="1"/>
  <c r="R18" i="2"/>
  <c r="AC683" i="3"/>
  <c r="AC709" s="1"/>
  <c r="AF185"/>
  <c r="AF224" s="1"/>
  <c r="AF149"/>
  <c r="AF162" s="1"/>
  <c r="AF496"/>
  <c r="AF337"/>
  <c r="AF367" s="1"/>
  <c r="AF874"/>
  <c r="AF897" s="1"/>
  <c r="AF469"/>
  <c r="AE139"/>
  <c r="AE144" s="1"/>
  <c r="AC144"/>
  <c r="AC839"/>
  <c r="AE839"/>
  <c r="AE455"/>
  <c r="AE468" s="1"/>
  <c r="AC873"/>
  <c r="AE861"/>
  <c r="AE873" s="1"/>
  <c r="AE10"/>
  <c r="AC34"/>
  <c r="AC37"/>
  <c r="Y672"/>
  <c r="W674"/>
  <c r="W678" s="1"/>
  <c r="W709" s="1"/>
  <c r="W898" s="1"/>
  <c r="V678"/>
  <c r="V709" s="1"/>
  <c r="V898" s="1"/>
  <c r="AB622"/>
  <c r="AB657" s="1"/>
  <c r="AC550"/>
  <c r="AC369"/>
  <c r="AB561"/>
  <c r="AB594" s="1"/>
  <c r="Z133"/>
  <c r="AB96"/>
  <c r="AB133" s="1"/>
  <c r="AC378"/>
  <c r="AC409" s="1"/>
  <c r="R66" i="1"/>
  <c r="Q80"/>
  <c r="Q96" s="1"/>
  <c r="Z657" i="3"/>
  <c r="AE227" l="1"/>
  <c r="AE254" s="1"/>
  <c r="R80" i="1"/>
  <c r="R96" s="1"/>
  <c r="S66"/>
  <c r="S80" s="1"/>
  <c r="S96" s="1"/>
  <c r="AE683" i="3"/>
  <c r="AE709" s="1"/>
  <c r="AF139"/>
  <c r="AF144" s="1"/>
  <c r="AF861"/>
  <c r="AF873" s="1"/>
  <c r="AF839"/>
  <c r="AF455"/>
  <c r="AF468" s="1"/>
  <c r="AE34"/>
  <c r="AC553"/>
  <c r="AE550"/>
  <c r="AE553" s="1"/>
  <c r="AF10"/>
  <c r="AE378"/>
  <c r="AE409" s="1"/>
  <c r="AC371"/>
  <c r="AE369"/>
  <c r="AE371" s="1"/>
  <c r="AE37"/>
  <c r="AE64" s="1"/>
  <c r="AC64"/>
  <c r="Y674"/>
  <c r="AC622"/>
  <c r="AC657" s="1"/>
  <c r="AB898"/>
  <c r="AC96"/>
  <c r="AC133" s="1"/>
  <c r="AC561"/>
  <c r="AF227" l="1"/>
  <c r="AF254" s="1"/>
  <c r="T66" i="1"/>
  <c r="AF683" i="3"/>
  <c r="AF709" s="1"/>
  <c r="AF553"/>
  <c r="AF378"/>
  <c r="AF409" s="1"/>
  <c r="AF34"/>
  <c r="AF369"/>
  <c r="AF371" s="1"/>
  <c r="AF550"/>
  <c r="AF37"/>
  <c r="AF64" s="1"/>
  <c r="AC594"/>
  <c r="AE561"/>
  <c r="AE594" s="1"/>
  <c r="AE96"/>
  <c r="AE133" s="1"/>
  <c r="AE622"/>
  <c r="AE657" s="1"/>
  <c r="Y678"/>
  <c r="AC898"/>
  <c r="U66" i="1" l="1"/>
  <c r="U80" s="1"/>
  <c r="U96" s="1"/>
  <c r="T80"/>
  <c r="AE898" i="3"/>
  <c r="AF96"/>
  <c r="AF594"/>
  <c r="AF622"/>
  <c r="AF657" s="1"/>
  <c r="AF561"/>
  <c r="Y709"/>
  <c r="Y898" s="1"/>
  <c r="V66" i="1" l="1"/>
  <c r="V80" s="1"/>
  <c r="V96" s="1"/>
  <c r="O21" i="2"/>
  <c r="T96" i="1"/>
  <c r="AF133" i="3"/>
  <c r="AF898" s="1"/>
  <c r="N9" i="2"/>
  <c r="Q21" l="1"/>
  <c r="P21" s="1"/>
  <c r="N21"/>
  <c r="N27" s="1"/>
  <c r="O27"/>
  <c r="S11"/>
  <c r="N13"/>
  <c r="Q27" l="1"/>
  <c r="S21" s="1"/>
  <c r="R21"/>
  <c r="P27"/>
  <c r="R27" s="1"/>
  <c r="S25"/>
  <c r="S26"/>
  <c r="S23"/>
  <c r="O29"/>
  <c r="S13"/>
  <c r="S22" l="1"/>
  <c r="S18"/>
  <c r="S24"/>
  <c r="S20"/>
  <c r="Q29"/>
  <c r="S19"/>
  <c r="Z898" i="3"/>
  <c r="S27" i="2" l="1"/>
</calcChain>
</file>

<file path=xl/comments1.xml><?xml version="1.0" encoding="utf-8"?>
<comments xmlns="http://schemas.openxmlformats.org/spreadsheetml/2006/main">
  <authors>
    <author>Ajuntament de Dénia</author>
    <author>administrador</author>
    <author>Constantino Baeza</author>
  </authors>
  <commentList>
    <comment ref="I66" authorId="0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liq.08:144,502,92/año (desde 2011)
liq.09:358,901,46/año (desde 2012)
en 5 años
ANTICIPO:8.281.467,62</t>
        </r>
      </text>
    </comment>
    <comment ref="N70" authorId="1">
      <text>
        <r>
          <rPr>
            <b/>
            <sz val="8"/>
            <color indexed="81"/>
            <rFont val="Tahoma"/>
            <family val="2"/>
          </rPr>
          <t>Residencia y centro día:932.320
Atención dependencia:33.985
Vivienda tutelada:92.520
Servicios Generales:200.000
Acogimiento familiar:13.140
AMICS:10.502,8</t>
        </r>
      </text>
    </comment>
    <comment ref="U70" authorId="2">
      <text>
        <r>
          <rPr>
            <sz val="9"/>
            <color indexed="81"/>
            <rFont val="Tahoma"/>
            <family val="2"/>
          </rPr>
          <t>Financiación personas diversidad funcional=116.890€
Servicios Sociales (SAD,PEIS,Atención dep.,Equipo Base)=640.480€
Financiación Residencia=1.420.690€
Red agentes Igualdad=33.400,¡€
SEAFI=42.300€</t>
        </r>
      </text>
    </comment>
    <comment ref="U88" authorId="2">
      <text>
        <r>
          <rPr>
            <b/>
            <sz val="9"/>
            <color indexed="81"/>
            <rFont val="Tahoma"/>
            <family val="2"/>
          </rPr>
          <t>Subv. Ministeriol Fomento 50% obra castillo Rest. Verger Alt</t>
        </r>
      </text>
    </comment>
    <comment ref="U90" authorId="2">
      <text>
        <r>
          <rPr>
            <sz val="9"/>
            <color indexed="81"/>
            <rFont val="Tahoma"/>
            <family val="2"/>
          </rPr>
          <t xml:space="preserve">Rotonda C/Diana=199.434,28€
Ascensor Ag.Lectura=16.075€
Obras  reforma aseo mercado=20.050€
</t>
        </r>
      </text>
    </comment>
    <comment ref="S91" authorId="2">
      <text>
        <r>
          <rPr>
            <b/>
            <sz val="9"/>
            <color indexed="81"/>
            <rFont val="Tahoma"/>
            <family val="2"/>
          </rPr>
          <t xml:space="preserve">Plan Ahoro energético 2016
</t>
        </r>
      </text>
    </comment>
    <comment ref="U91" authorId="2">
      <text>
        <r>
          <rPr>
            <b/>
            <sz val="9"/>
            <color indexed="81"/>
            <rFont val="Tahoma"/>
            <family val="2"/>
          </rPr>
          <t xml:space="preserve">Inv sostenible asfaltado camino cementerio=224.739,02
</t>
        </r>
      </text>
    </comment>
    <comment ref="U92" authorId="2">
      <text>
        <r>
          <rPr>
            <b/>
            <sz val="9"/>
            <color indexed="81"/>
            <rFont val="Tahoma"/>
            <family val="2"/>
          </rPr>
          <t xml:space="preserve">Financiación 25% obra castillo Verger Alt
</t>
        </r>
      </text>
    </comment>
  </commentList>
</comments>
</file>

<file path=xl/comments2.xml><?xml version="1.0" encoding="utf-8"?>
<comments xmlns="http://schemas.openxmlformats.org/spreadsheetml/2006/main">
  <authors>
    <author>CBaeza</author>
    <author>administrador</author>
    <author>Constantino Baeza</author>
    <author>Ajuntament de Dénia</author>
    <author>cbaeza</author>
  </authors>
  <commentList>
    <comment ref="E28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CONVENIOS ASOCIACIONES PROTECTORAS
</t>
        </r>
      </text>
    </comment>
    <comment ref="S28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FACTURAS APAD ATRASADAS</t>
        </r>
      </text>
    </comment>
    <comment ref="AA28" authorId="2">
      <text>
        <r>
          <rPr>
            <b/>
            <sz val="9"/>
            <color indexed="81"/>
            <rFont val="Tahoma"/>
            <family val="2"/>
          </rPr>
          <t xml:space="preserve">contrato recogida animales:10.312,50€
</t>
        </r>
      </text>
    </comment>
    <comment ref="AD28" authorId="2">
      <text>
        <r>
          <rPr>
            <b/>
            <sz val="9"/>
            <color indexed="81"/>
            <rFont val="Tahoma"/>
            <family val="2"/>
          </rPr>
          <t>caminos escolares=16.000€
Contrato animales=48.000€
Voluntariado ambiental=17.000€
Convenio aldea felina=7.500€</t>
        </r>
      </text>
    </comment>
    <comment ref="AD29" authorId="2">
      <text>
        <r>
          <rPr>
            <b/>
            <sz val="9"/>
            <color indexed="81"/>
            <rFont val="Tahoma"/>
            <family val="2"/>
          </rPr>
          <t>Linea autbús Montgó (1/4-30/9)</t>
        </r>
      </text>
    </comment>
    <comment ref="K47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renting maquinas ORA</t>
        </r>
      </text>
    </comment>
    <comment ref="AA48" authorId="2">
      <text>
        <r>
          <rPr>
            <b/>
            <sz val="9"/>
            <color indexed="81"/>
            <rFont val="Tahoma"/>
            <family val="2"/>
          </rPr>
          <t>Renting  vehículos hasta 2.020 por 104.523,36€ anuales</t>
        </r>
      </text>
    </comment>
    <comment ref="AA59" authorId="2">
      <text>
        <r>
          <rPr>
            <b/>
            <sz val="9"/>
            <color indexed="81"/>
            <rFont val="Tahoma"/>
            <family val="2"/>
          </rPr>
          <t xml:space="preserve">SERVICIO DE TRADUCCIONES
</t>
        </r>
      </text>
    </comment>
    <comment ref="AD59" authorId="2">
      <text>
        <r>
          <rPr>
            <b/>
            <sz val="9"/>
            <color indexed="81"/>
            <rFont val="Tahoma"/>
            <family val="2"/>
          </rPr>
          <t>Ponencia seguridad=6.050€</t>
        </r>
      </text>
    </comment>
    <comment ref="X62" authorId="1">
      <text>
        <r>
          <rPr>
            <b/>
            <sz val="8"/>
            <color indexed="81"/>
            <rFont val="Tahoma"/>
            <family val="2"/>
          </rPr>
          <t>OP.COMPRA NISSAN+3SCOOTERS+2 QUADS PLAYAS+4 MOTOS+ETILOMETRO Y TEST DROGAS+REFORMA TUNEL</t>
        </r>
      </text>
    </comment>
    <comment ref="AA63" authorId="2">
      <text>
        <r>
          <rPr>
            <b/>
            <sz val="9"/>
            <color indexed="81"/>
            <rFont val="Tahoma"/>
            <family val="2"/>
          </rPr>
          <t xml:space="preserve">Adq. 4 motos
</t>
        </r>
      </text>
    </comment>
    <comment ref="AA78" authorId="2">
      <text>
        <r>
          <rPr>
            <b/>
            <sz val="9"/>
            <color indexed="81"/>
            <rFont val="Tahoma"/>
            <family val="2"/>
          </rPr>
          <t>RENTING VEHÍCULO HASTA 2.020</t>
        </r>
      </text>
    </comment>
    <comment ref="U83" authorId="1">
      <text>
        <r>
          <rPr>
            <b/>
            <sz val="8"/>
            <color indexed="81"/>
            <rFont val="Tahoma"/>
            <family val="2"/>
          </rPr>
          <t xml:space="preserve">FREADORA:7000
Maquina pintar:20000
</t>
        </r>
      </text>
    </comment>
    <comment ref="A85" authorId="2">
      <text>
        <r>
          <rPr>
            <b/>
            <sz val="9"/>
            <color indexed="81"/>
            <rFont val="Tahoma"/>
            <family val="2"/>
          </rPr>
          <t xml:space="preserve">cambio de la 13400
</t>
        </r>
      </text>
    </comment>
    <comment ref="AA111" authorId="2">
      <text>
        <r>
          <rPr>
            <b/>
            <sz val="9"/>
            <color indexed="81"/>
            <rFont val="Tahoma"/>
            <family val="2"/>
          </rPr>
          <t>Renting 2 vehículos hasta 2.020</t>
        </r>
      </text>
    </comment>
    <comment ref="X119" authorId="1">
      <text>
        <r>
          <rPr>
            <b/>
            <sz val="8"/>
            <color indexed="81"/>
            <rFont val="Tahoma"/>
            <family val="2"/>
          </rPr>
          <t>SENTENCIA SERVICIO COSTAS PASAREAL=75239,31</t>
        </r>
      </text>
    </comment>
    <comment ref="AD119" authorId="2">
      <text>
        <r>
          <rPr>
            <b/>
            <sz val="9"/>
            <color indexed="81"/>
            <rFont val="Tahoma"/>
            <family val="2"/>
          </rPr>
          <t>Convenio Ronda Norte indemniación Ronda Perimetral=861.420,96€</t>
        </r>
      </text>
    </comment>
    <comment ref="I120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CONTRATO PLAN GEENRAL
</t>
        </r>
      </text>
    </comment>
    <comment ref="R120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CONVENIO COLEGIO ARQ.
</t>
        </r>
      </text>
    </comment>
    <comment ref="X120" authorId="1">
      <text>
        <r>
          <rPr>
            <b/>
            <sz val="8"/>
            <color indexed="81"/>
            <rFont val="Tahoma"/>
            <family val="2"/>
          </rPr>
          <t>REDAC. PYTO. CP LA XARA 181,866,44€</t>
        </r>
      </text>
    </comment>
    <comment ref="AA120" authorId="2">
      <text>
        <r>
          <rPr>
            <b/>
            <sz val="9"/>
            <color indexed="81"/>
            <rFont val="Tahoma"/>
            <family val="2"/>
          </rPr>
          <t xml:space="preserve"> contratación arquitecto y otros PG, y aistencia externa</t>
        </r>
      </text>
    </comment>
    <comment ref="X124" authorId="1">
      <text>
        <r>
          <rPr>
            <b/>
            <sz val="8"/>
            <color indexed="81"/>
            <rFont val="Tahoma"/>
            <family val="2"/>
          </rPr>
          <t xml:space="preserve">OBRAS ECOPARQUE IBERDROLA SEGÚN CONVENIO
</t>
        </r>
      </text>
    </comment>
    <comment ref="AA124" authorId="2">
      <text>
        <r>
          <rPr>
            <b/>
            <sz val="9"/>
            <color indexed="81"/>
            <rFont val="Tahoma"/>
            <family val="2"/>
          </rPr>
          <t>Rotonda  C/Diana cofinan.=60.000€
Acond. Av. Joan Fuster=24.000€
Obras Cova de l`Aigua=100.000€
Derribo y aond. Ramis Gualde a C/La Vía=20.000€
Acond. Avda. Valencia con Gandía (casa polaca)=12.000€
Acond. Plaza Grup mariners=40.000€</t>
        </r>
      </text>
    </comment>
    <comment ref="AD124" authorId="2">
      <text>
        <r>
          <rPr>
            <b/>
            <sz val="9"/>
            <color indexed="81"/>
            <rFont val="Tahoma"/>
            <family val="2"/>
          </rPr>
          <t xml:space="preserve">Rotonda cruce C/diana y J.Fuster=241.528,69€
Obras cova de L' Aigua=132.425€
Acond. Mariners=33.305€
derribo nave Ramis Gualde=20.000€
</t>
        </r>
      </text>
    </comment>
    <comment ref="AD125" authorId="2">
      <text>
        <r>
          <rPr>
            <b/>
            <sz val="9"/>
            <color indexed="81"/>
            <rFont val="Tahoma"/>
            <family val="2"/>
          </rPr>
          <t>Presupuestos participativos de creación ´reas biosaludables en Baix La Mar y Faroleta por 46.000€, y parque street woorkout en Les Marines =20.000€</t>
        </r>
      </text>
    </comment>
    <comment ref="Z126" authorId="2">
      <text>
        <r>
          <rPr>
            <b/>
            <sz val="9"/>
            <color indexed="81"/>
            <rFont val="Tahoma"/>
            <family val="2"/>
          </rPr>
          <t>fotocopiadora</t>
        </r>
      </text>
    </comment>
    <comment ref="AA126" authorId="2">
      <text>
        <r>
          <rPr>
            <b/>
            <sz val="9"/>
            <color indexed="81"/>
            <rFont val="Tahoma"/>
            <family val="2"/>
          </rPr>
          <t>PLOTTER</t>
        </r>
      </text>
    </comment>
    <comment ref="AA127" authorId="2">
      <text>
        <r>
          <rPr>
            <b/>
            <sz val="9"/>
            <color indexed="81"/>
            <rFont val="Tahoma"/>
            <family val="2"/>
          </rPr>
          <t>Adq. 1 vehiculos eléctricos con subv. IVACE del 20%</t>
        </r>
      </text>
    </comment>
    <comment ref="AD128" authorId="2">
      <text>
        <r>
          <rPr>
            <b/>
            <sz val="9"/>
            <color indexed="81"/>
            <rFont val="Tahoma"/>
            <family val="2"/>
          </rPr>
          <t>20 SILLAS</t>
        </r>
      </text>
    </comment>
    <comment ref="AA129" authorId="2">
      <text>
        <r>
          <rPr>
            <b/>
            <sz val="9"/>
            <color indexed="81"/>
            <rFont val="Tahoma"/>
            <family val="2"/>
          </rPr>
          <t>Vivienda en C/Trinidad,3</t>
        </r>
      </text>
    </comment>
    <comment ref="X131" authorId="1">
      <text>
        <r>
          <rPr>
            <b/>
            <sz val="8"/>
            <color indexed="81"/>
            <rFont val="Tahoma"/>
            <family val="2"/>
          </rPr>
          <t>PLAN PROVINCIAL AHORRO ENERGETICO</t>
        </r>
      </text>
    </comment>
    <comment ref="Z131" authorId="2">
      <text>
        <r>
          <rPr>
            <b/>
            <sz val="9"/>
            <color indexed="81"/>
            <rFont val="Tahoma"/>
            <family val="2"/>
          </rPr>
          <t>Plan Ahorro Energético</t>
        </r>
      </text>
    </comment>
    <comment ref="AD131" authorId="2">
      <text>
        <r>
          <rPr>
            <b/>
            <sz val="9"/>
            <color indexed="81"/>
            <rFont val="Tahoma"/>
            <family val="2"/>
          </rPr>
          <t>Obras sust. Iluminación y maq. Frigorificas mercado municipal</t>
        </r>
      </text>
    </comment>
    <comment ref="AD135" authorId="2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C/pintor Llorens=225.000€
Pluviales G. San Andrés=30.000€</t>
        </r>
      </text>
    </comment>
    <comment ref="U136" authorId="1">
      <text>
        <r>
          <rPr>
            <b/>
            <sz val="8"/>
            <color indexed="81"/>
            <rFont val="Tahoma"/>
            <family val="2"/>
          </rPr>
          <t>Reurb. Calle Fontanella ap.mpal 2015:538,46 2016:274.211,54</t>
        </r>
      </text>
    </comment>
    <comment ref="Z136" authorId="2">
      <text>
        <r>
          <rPr>
            <b/>
            <sz val="9"/>
            <color indexed="81"/>
            <rFont val="Tahoma"/>
            <family val="2"/>
          </rPr>
          <t>C/Fontanella</t>
        </r>
      </text>
    </comment>
    <comment ref="AD136" authorId="2">
      <text>
        <r>
          <rPr>
            <b/>
            <sz val="9"/>
            <color indexed="81"/>
            <rFont val="Tahoma"/>
            <family val="2"/>
          </rPr>
          <t>Obras C/Fontanella</t>
        </r>
      </text>
    </comment>
    <comment ref="S140" authorId="1">
      <text>
        <r>
          <rPr>
            <b/>
            <sz val="8"/>
            <color indexed="81"/>
            <rFont val="Tahoma"/>
            <family val="2"/>
          </rPr>
          <t>16,500€ eliminación 3,000TM</t>
        </r>
      </text>
    </comment>
    <comment ref="AD141" authorId="2">
      <text>
        <r>
          <rPr>
            <b/>
            <sz val="9"/>
            <color indexed="81"/>
            <rFont val="Tahoma"/>
            <family val="2"/>
          </rPr>
          <t>A partir del 1/7/2018, ya no factura FCC . Se realizarán aportaciones al Consorcio.</t>
        </r>
      </text>
    </comment>
    <comment ref="AA176" authorId="2">
      <text>
        <r>
          <rPr>
            <b/>
            <sz val="9"/>
            <color indexed="81"/>
            <rFont val="Tahoma"/>
            <family val="2"/>
          </rPr>
          <t>Renting vehiculo electricista hasta 2.020</t>
        </r>
      </text>
    </comment>
    <comment ref="AD198" authorId="2">
      <text>
        <r>
          <rPr>
            <b/>
            <sz val="9"/>
            <color indexed="81"/>
            <rFont val="Tahoma"/>
            <family val="2"/>
          </rPr>
          <t>Renting dos vehículos y una furgoneta</t>
        </r>
      </text>
    </comment>
    <comment ref="AD200" authorId="2">
      <text>
        <r>
          <rPr>
            <b/>
            <sz val="9"/>
            <color indexed="81"/>
            <rFont val="Tahoma"/>
            <family val="2"/>
          </rPr>
          <t>Mantenimiento solares de interés patrimonial</t>
        </r>
      </text>
    </comment>
    <comment ref="AD211" authorId="2">
      <text>
        <r>
          <rPr>
            <b/>
            <sz val="9"/>
            <color indexed="81"/>
            <rFont val="Tahoma"/>
            <family val="2"/>
          </rPr>
          <t>Est.científica Montgó=20.000€</t>
        </r>
      </text>
    </comment>
    <comment ref="AA212" authorId="2">
      <text>
        <r>
          <rPr>
            <b/>
            <sz val="9"/>
            <color indexed="81"/>
            <rFont val="Tahoma"/>
            <family val="2"/>
          </rPr>
          <t>canon control vertidos urb. No conectadas EDAR=26.194,06€(RECURRIDA).
Canon vertidos aguas marítimas litorales 2013-2014-2015=40.888,05€</t>
        </r>
      </text>
    </comment>
    <comment ref="Y214" authorId="1">
      <text>
        <r>
          <rPr>
            <b/>
            <sz val="8"/>
            <color indexed="81"/>
            <rFont val="Tahoma"/>
            <family val="2"/>
          </rPr>
          <t xml:space="preserve">convenio Universidad Alicante
</t>
        </r>
      </text>
    </comment>
    <comment ref="AA214" authorId="2">
      <text>
        <r>
          <rPr>
            <b/>
            <sz val="9"/>
            <color indexed="81"/>
            <rFont val="Tahoma"/>
            <family val="2"/>
          </rPr>
          <t>Estación científica Montgó 10.000€</t>
        </r>
      </text>
    </comment>
    <comment ref="AD214" authorId="2">
      <text>
        <r>
          <rPr>
            <b/>
            <sz val="9"/>
            <color indexed="81"/>
            <rFont val="Tahoma"/>
            <family val="2"/>
          </rPr>
          <t xml:space="preserve">Plan acústico=12.000€
Plan Inundaciones=10.00€
Plan Incendios=7.000€
</t>
        </r>
      </text>
    </comment>
    <comment ref="AA221" authorId="2">
      <text>
        <r>
          <rPr>
            <b/>
            <sz val="9"/>
            <color indexed="81"/>
            <rFont val="Tahoma"/>
            <family val="2"/>
          </rPr>
          <t>Plan Provincial ahorro energético</t>
        </r>
      </text>
    </comment>
    <comment ref="AD221" authorId="2">
      <text>
        <r>
          <rPr>
            <b/>
            <sz val="9"/>
            <color indexed="81"/>
            <rFont val="Tahoma"/>
            <family val="2"/>
          </rPr>
          <t xml:space="preserve">Presupuestos participativos:
adecuación estación científica Montgó (Barrio Montgó)=22.000€
</t>
        </r>
      </text>
    </comment>
    <comment ref="AD223" authorId="2">
      <text>
        <r>
          <rPr>
            <b/>
            <sz val="9"/>
            <color indexed="81"/>
            <rFont val="Tahoma"/>
            <family val="2"/>
          </rPr>
          <t>PLAN AHORRO ENERGETICO:177.405,31€
Diputación:150.368,74€
Ayto:27.036,57€</t>
        </r>
      </text>
    </comment>
    <comment ref="AD238" authorId="2">
      <text>
        <r>
          <rPr>
            <b/>
            <sz val="9"/>
            <color indexed="81"/>
            <rFont val="Tahoma"/>
            <family val="2"/>
          </rPr>
          <t>Alquiler nave polígono para departamento de Parq. Y Jardines</t>
        </r>
      </text>
    </comment>
    <comment ref="AA240" authorId="2">
      <text>
        <r>
          <rPr>
            <b/>
            <sz val="9"/>
            <color indexed="81"/>
            <rFont val="Tahoma"/>
            <family val="2"/>
          </rPr>
          <t xml:space="preserve">Renting vehiculo hasta 2.20 por 7,244,16€ </t>
        </r>
      </text>
    </comment>
    <comment ref="R241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contrato dos años mantenimiento árboles y palmeras</t>
        </r>
      </text>
    </comment>
    <comment ref="V241" authorId="1">
      <text>
        <r>
          <rPr>
            <b/>
            <sz val="8"/>
            <color indexed="81"/>
            <rFont val="Tahoma"/>
            <family val="2"/>
          </rPr>
          <t xml:space="preserve">limpieza parcelas municipales
</t>
        </r>
      </text>
    </comment>
    <comment ref="X252" authorId="1">
      <text>
        <r>
          <rPr>
            <b/>
            <sz val="8"/>
            <color indexed="81"/>
            <rFont val="Tahoma"/>
            <family val="2"/>
          </rPr>
          <t>PARQUE PERROS TORRECREMADA</t>
        </r>
      </text>
    </comment>
    <comment ref="AA252" authorId="2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53" authorId="2">
      <text>
        <r>
          <rPr>
            <b/>
            <sz val="9"/>
            <color indexed="81"/>
            <rFont val="Tahoma"/>
            <family val="2"/>
          </rPr>
          <t>OPCION COMPRA 2 VEHICULOS PARQUES Y JARDINES</t>
        </r>
      </text>
    </comment>
    <comment ref="AA283" authorId="2">
      <text>
        <r>
          <rPr>
            <b/>
            <sz val="9"/>
            <color indexed="81"/>
            <rFont val="Tahoma"/>
            <family val="2"/>
          </rPr>
          <t xml:space="preserve">TAPIS: 7.000€
DISCAPACITADOS EN LA PLAYA:18.000€
TALLERES PARA PERSONAS CON DISCAPACIDAD:10.000€
</t>
        </r>
      </text>
    </comment>
    <comment ref="AA285" authorId="2">
      <text>
        <r>
          <rPr>
            <b/>
            <sz val="9"/>
            <color indexed="81"/>
            <rFont val="Tahoma"/>
            <family val="2"/>
          </rPr>
          <t xml:space="preserve">SAD=125.000
</t>
        </r>
      </text>
    </comment>
    <comment ref="M286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SAD:85000
VIVIENDA TUTELADA ENF.MENTALES:110000
PLAYAS ACCESIBLES: 15.000</t>
        </r>
      </text>
    </comment>
    <comment ref="R286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servicio ayuda a domicilio 40.516,66 €
</t>
        </r>
      </text>
    </comment>
    <comment ref="X286" authorId="1">
      <text>
        <r>
          <rPr>
            <b/>
            <sz val="8"/>
            <color indexed="81"/>
            <rFont val="Tahoma"/>
            <family val="2"/>
          </rPr>
          <t xml:space="preserve">sad:52,399,36
</t>
        </r>
      </text>
    </comment>
    <comment ref="AA286" authorId="2">
      <text>
        <r>
          <rPr>
            <b/>
            <sz val="9"/>
            <color indexed="81"/>
            <rFont val="Tahoma"/>
            <family val="2"/>
          </rPr>
          <t>VIVIENDA TUTELADA:101.000€
PROV.FONDOS</t>
        </r>
      </text>
    </comment>
    <comment ref="AD286" authorId="2">
      <text>
        <r>
          <rPr>
            <b/>
            <sz val="9"/>
            <color indexed="81"/>
            <rFont val="Tahoma"/>
            <family val="2"/>
          </rPr>
          <t>Gestión vivienda tutelada=105.000€
Mantenimiemto vivienda tutelada =6.000€</t>
        </r>
      </text>
    </comment>
    <comment ref="N289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PEISS</t>
        </r>
      </text>
    </comment>
    <comment ref="AA289" authorId="2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89" authorId="2">
      <text>
        <r>
          <rPr>
            <sz val="9"/>
            <color indexed="81"/>
            <rFont val="Tahoma"/>
            <family val="2"/>
          </rPr>
          <t xml:space="preserve">PEIS
</t>
        </r>
      </text>
    </comment>
    <comment ref="AD291" authorId="2">
      <text>
        <r>
          <rPr>
            <b/>
            <sz val="9"/>
            <color indexed="81"/>
            <rFont val="Tahoma"/>
            <family val="2"/>
          </rPr>
          <t>Ayudas pobreza energética=40.000€
Ayudas sociales ref. IBI=40.000€</t>
        </r>
      </text>
    </comment>
    <comment ref="AA310" authorId="2">
      <text>
        <r>
          <rPr>
            <b/>
            <sz val="9"/>
            <color indexed="81"/>
            <rFont val="Tahoma"/>
            <family val="2"/>
          </rPr>
          <t>AMICS:1.500€
FERIA ASOCIACIONES:6.000€</t>
        </r>
      </text>
    </comment>
    <comment ref="E312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SEAFI (82.638,1€)
PAE (31.548,80€)
PAF(26.400€)
</t>
        </r>
      </text>
    </comment>
    <comment ref="M312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SEAFI:86000
ABSENTISMO:29000
ACOG.FAM.:12000
AYUDAS MENORES Y FAMILIAS:5000</t>
        </r>
      </text>
    </comment>
    <comment ref="R312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absentismo escolar 30.000€</t>
        </r>
      </text>
    </comment>
    <comment ref="AA312" authorId="2">
      <text>
        <r>
          <rPr>
            <b/>
            <sz val="9"/>
            <color indexed="81"/>
            <rFont val="Tahoma"/>
            <family val="2"/>
          </rPr>
          <t xml:space="preserve">SEAFI:86.000€
PAE:27.000€
ACTIVIDADES:15.000€
</t>
        </r>
      </text>
    </comment>
    <comment ref="AD320" authorId="2">
      <text>
        <r>
          <rPr>
            <b/>
            <sz val="9"/>
            <color indexed="81"/>
            <rFont val="Tahoma"/>
            <family val="2"/>
          </rPr>
          <t>alquiler c/sertorio a fiestas pq está la junta local fallera</t>
        </r>
      </text>
    </comment>
    <comment ref="L329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DIA DE LA DONA:2.500
DIA VIOLENCIA:2.500
</t>
        </r>
      </text>
    </comment>
    <comment ref="G330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AULAS 245,511,39€, DINAMICS148,255€
PISO TUTELADO MUJERES 85.000
VACANCES PER A TOTOS 50,000
</t>
        </r>
      </text>
    </comment>
    <comment ref="L330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TALLERES=17.970+1.800=19770
AULAS:226.566,09
DINAMICS:138.030,48
VACANCES:30.000</t>
        </r>
      </text>
    </comment>
    <comment ref="X330" authorId="1">
      <text>
        <r>
          <rPr>
            <b/>
            <sz val="8"/>
            <color indexed="81"/>
            <rFont val="Tahoma"/>
            <family val="2"/>
          </rPr>
          <t xml:space="preserve">AULAS TRECERA EDAD Y DINAMICS
</t>
        </r>
      </text>
    </comment>
    <comment ref="AA330" authorId="2">
      <text>
        <r>
          <rPr>
            <b/>
            <sz val="9"/>
            <color indexed="81"/>
            <rFont val="Tahoma"/>
            <family val="2"/>
          </rPr>
          <t xml:space="preserve">AULAS TERCERA EDAD termina 1/10/2018
Plan de Igualdad 9.800€
Vacances:20.600€
</t>
        </r>
      </text>
    </comment>
    <comment ref="AD330" authorId="2">
      <text>
        <r>
          <rPr>
            <b/>
            <sz val="9"/>
            <color indexed="81"/>
            <rFont val="Tahoma"/>
            <family val="2"/>
          </rPr>
          <t>Program aulas tercera edad</t>
        </r>
      </text>
    </comment>
    <comment ref="AA362" authorId="2">
      <text>
        <r>
          <rPr>
            <b/>
            <sz val="9"/>
            <color indexed="81"/>
            <rFont val="Tahoma"/>
            <family val="2"/>
          </rPr>
          <t>contrato fisioterapeúta 30.000€</t>
        </r>
      </text>
    </comment>
    <comment ref="AA366" authorId="2">
      <text>
        <r>
          <rPr>
            <b/>
            <sz val="9"/>
            <color indexed="81"/>
            <rFont val="Tahoma"/>
            <family val="2"/>
          </rPr>
          <t xml:space="preserve">Reparación pilares y cubierta residencia
</t>
        </r>
      </text>
    </comment>
    <comment ref="AD366" authorId="2">
      <text>
        <r>
          <rPr>
            <b/>
            <sz val="9"/>
            <color indexed="81"/>
            <rFont val="Tahoma"/>
            <family val="2"/>
          </rPr>
          <t>Reparación patología en vigas y pilares=44.500€</t>
        </r>
      </text>
    </comment>
    <comment ref="U368" authorId="1">
      <text>
        <r>
          <rPr>
            <b/>
            <sz val="8"/>
            <color indexed="81"/>
            <rFont val="Tahoma"/>
            <family val="2"/>
          </rPr>
          <t>Estudio mercado laboral</t>
        </r>
      </text>
    </comment>
    <comment ref="AA368" authorId="2">
      <text>
        <r>
          <rPr>
            <b/>
            <sz val="9"/>
            <color indexed="81"/>
            <rFont val="Tahoma"/>
            <family val="2"/>
          </rPr>
          <t>Convenio UNED</t>
        </r>
      </text>
    </comment>
    <comment ref="AD368" authorId="2">
      <text>
        <r>
          <rPr>
            <b/>
            <sz val="9"/>
            <color indexed="81"/>
            <rFont val="Tahoma"/>
            <family val="2"/>
          </rPr>
          <t>Convenio UNED 10000€
Plan apoyo emprendimiento=20.000€</t>
        </r>
      </text>
    </comment>
    <comment ref="S369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plan de empleo</t>
        </r>
      </text>
    </comment>
    <comment ref="X369" authorId="1">
      <text>
        <r>
          <rPr>
            <b/>
            <sz val="8"/>
            <color indexed="81"/>
            <rFont val="Tahoma"/>
            <family val="2"/>
          </rPr>
          <t>PLAN EMPLEO 50,000€</t>
        </r>
      </text>
    </comment>
    <comment ref="AA369" authorId="2">
      <text>
        <r>
          <rPr>
            <b/>
            <sz val="9"/>
            <color indexed="81"/>
            <rFont val="Tahoma"/>
            <family val="2"/>
          </rPr>
          <t>268.838€ aportación
50.00 € plan empleo</t>
        </r>
      </text>
    </comment>
    <comment ref="R374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mosquitos 38,500€ y legionela 33,000€</t>
        </r>
      </text>
    </comment>
    <comment ref="X374" authorId="1">
      <text>
        <r>
          <rPr>
            <b/>
            <sz val="8"/>
            <color indexed="81"/>
            <rFont val="Tahoma"/>
            <family val="2"/>
          </rPr>
          <t>legionela:36,300
desrat.:40,040</t>
        </r>
      </text>
    </comment>
    <comment ref="AA374" authorId="2">
      <text>
        <r>
          <rPr>
            <b/>
            <sz val="9"/>
            <color indexed="81"/>
            <rFont val="Tahoma"/>
            <family val="2"/>
          </rPr>
          <t>contrato legionela y desratización, y cionvenio Univerisdad Valencia</t>
        </r>
      </text>
    </comment>
    <comment ref="AD374" authorId="2">
      <text>
        <r>
          <rPr>
            <b/>
            <sz val="9"/>
            <color indexed="81"/>
            <rFont val="Tahoma"/>
            <family val="2"/>
          </rPr>
          <t>Legionnela=33.396€
desratización=36.877,32€
Convenio Univ.Valencia=27.889,00€</t>
        </r>
      </text>
    </comment>
    <comment ref="AD408" authorId="2">
      <text>
        <r>
          <rPr>
            <b/>
            <sz val="9"/>
            <color indexed="81"/>
            <rFont val="Tahoma"/>
            <family val="2"/>
          </rPr>
          <t>Inversiones no relice GV en techos y ventanas de colegios Cervantes,Llebeig,Pou, y Vessanes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428" authorId="2">
      <text>
        <r>
          <rPr>
            <b/>
            <sz val="9"/>
            <color indexed="81"/>
            <rFont val="Tahoma"/>
            <family val="2"/>
          </rPr>
          <t>Ascensor Ag.Lectura Baix La Mar=32.150€</t>
        </r>
      </text>
    </comment>
    <comment ref="AD456" authorId="2">
      <text>
        <r>
          <rPr>
            <b/>
            <sz val="9"/>
            <color indexed="81"/>
            <rFont val="Tahoma"/>
            <family val="2"/>
          </rPr>
          <t>Adecuación para exposiciones local C/Foramur=30.000€</t>
        </r>
      </text>
    </comment>
    <comment ref="AD457" authorId="2">
      <text>
        <r>
          <rPr>
            <b/>
            <sz val="9"/>
            <color indexed="81"/>
            <rFont val="Tahoma"/>
            <family val="2"/>
          </rPr>
          <t xml:space="preserve">SMSO
</t>
        </r>
      </text>
    </comment>
    <comment ref="AD466" authorId="2">
      <text>
        <r>
          <rPr>
            <b/>
            <sz val="9"/>
            <color indexed="81"/>
            <rFont val="Tahoma"/>
            <family val="2"/>
          </rPr>
          <t>Adecuación Antigua Lonja Museo del Mar</t>
        </r>
      </text>
    </comment>
    <comment ref="X467" authorId="1">
      <text>
        <r>
          <rPr>
            <b/>
            <sz val="8"/>
            <color indexed="81"/>
            <rFont val="Tahoma"/>
            <family val="2"/>
          </rPr>
          <t xml:space="preserve">ASCENSOR CASA CULTURA
</t>
        </r>
      </text>
    </comment>
    <comment ref="AA467" authorId="2">
      <text>
        <r>
          <rPr>
            <b/>
            <sz val="9"/>
            <color indexed="81"/>
            <rFont val="Tahoma"/>
            <family val="2"/>
          </rPr>
          <t>climatización centre d´art</t>
        </r>
      </text>
    </comment>
    <comment ref="X484" authorId="1">
      <text>
        <r>
          <rPr>
            <b/>
            <sz val="8"/>
            <color indexed="81"/>
            <rFont val="Tahoma"/>
            <family val="2"/>
          </rPr>
          <t>taifa</t>
        </r>
      </text>
    </comment>
    <comment ref="AA484" authorId="2">
      <text>
        <r>
          <rPr>
            <b/>
            <sz val="9"/>
            <color indexed="81"/>
            <rFont val="Tahoma"/>
            <family val="2"/>
          </rPr>
          <t>Taifa Milenaria:12.000€
guia en valenciano y alemán del castillo:6.000€
Proyección audiovisual historia castillo: 11.000€</t>
        </r>
      </text>
    </comment>
    <comment ref="AA491" authorId="2">
      <text>
        <r>
          <rPr>
            <b/>
            <sz val="9"/>
            <color indexed="81"/>
            <rFont val="Tahoma"/>
            <family val="2"/>
          </rPr>
          <t>Plan Director:30.000€
Estrategia DUSI 13</t>
        </r>
      </text>
    </comment>
    <comment ref="AD491" authorId="2">
      <text>
        <r>
          <rPr>
            <b/>
            <sz val="9"/>
            <color indexed="81"/>
            <rFont val="Tahoma"/>
            <family val="2"/>
          </rPr>
          <t>Plan Director del castillo=40.000€</t>
        </r>
      </text>
    </comment>
    <comment ref="AD494" authorId="2">
      <text>
        <r>
          <rPr>
            <b/>
            <sz val="9"/>
            <color indexed="81"/>
            <rFont val="Tahoma"/>
            <family val="2"/>
          </rPr>
          <t>Obra restauración El Verger Alt y del Baluarte Oriental en el castillo=316.461,22€
Pasarela y adecuación castillo para exposiciones=30.000€</t>
        </r>
      </text>
    </comment>
    <comment ref="X495" authorId="1">
      <text>
        <r>
          <rPr>
            <b/>
            <sz val="8"/>
            <color indexed="81"/>
            <rFont val="Tahoma"/>
            <family val="2"/>
          </rPr>
          <t>ASCENSOR MUSEO JUGUETE</t>
        </r>
      </text>
    </comment>
    <comment ref="AA495" authorId="2">
      <text>
        <r>
          <rPr>
            <b/>
            <sz val="9"/>
            <color indexed="81"/>
            <rFont val="Tahoma"/>
            <family val="2"/>
          </rPr>
          <t xml:space="preserve">Señalización El Fortí :20.000€
Ascensor Museo del Juguete: 60.000€
</t>
        </r>
      </text>
    </comment>
    <comment ref="AD495" authorId="2">
      <text>
        <r>
          <rPr>
            <b/>
            <sz val="9"/>
            <color indexed="81"/>
            <rFont val="Tahoma"/>
            <family val="2"/>
          </rPr>
          <t xml:space="preserve">Ascensor museo=46.000€
señalética castillo=7000
</t>
        </r>
      </text>
    </comment>
    <comment ref="L516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LLUNATICS:29.166
AT.PSICOLOGICA11.040</t>
        </r>
      </text>
    </comment>
    <comment ref="X516" authorId="1">
      <text>
        <r>
          <rPr>
            <b/>
            <sz val="8"/>
            <color indexed="81"/>
            <rFont val="Tahoma"/>
            <family val="2"/>
          </rPr>
          <t>24200 SONIDO JUVENTUD Y MAYOR
13302,10 At.psicológica
33275 LLUNATICS
35000 ESCOLA TATRE
DINAMICS 148.830</t>
        </r>
      </text>
    </comment>
    <comment ref="AA516" authorId="2">
      <text>
        <r>
          <rPr>
            <b/>
            <sz val="9"/>
            <color indexed="81"/>
            <rFont val="Tahoma"/>
            <family val="2"/>
          </rPr>
          <t>Consulta Jove:11.010€
ETC:35.000€
Dinamics y Llunatics:89.540€
Serviciio imagen y sonido:17.268€
Servicio de asesoramiento:8.500€</t>
        </r>
      </text>
    </comment>
    <comment ref="AD516" authorId="2">
      <text>
        <r>
          <rPr>
            <b/>
            <sz val="9"/>
            <color indexed="81"/>
            <rFont val="Tahoma"/>
            <family val="2"/>
          </rPr>
          <t>Consulta jove=11.010€
Escuela teatro=48.000€
Dinamics y Llunatics=90.000€
Imagen,sonido e ilum.=17.268€
As.juridico al joven=10.500€
Activ.adolescentes viernes=27.000€</t>
        </r>
      </text>
    </comment>
    <comment ref="AD520" authorId="2">
      <text>
        <r>
          <rPr>
            <b/>
            <sz val="9"/>
            <color indexed="81"/>
            <rFont val="Tahoma"/>
            <family val="2"/>
          </rPr>
          <t>Rehabilit. Sala polivalente Llunatics=68.000€</t>
        </r>
      </text>
    </comment>
    <comment ref="AA537" authorId="2">
      <text>
        <r>
          <rPr>
            <b/>
            <sz val="9"/>
            <color indexed="81"/>
            <rFont val="Tahoma"/>
            <family val="2"/>
          </rPr>
          <t>BUTACAS ANFITEATRO CENTRO SOCIAL</t>
        </r>
      </text>
    </comment>
    <comment ref="AD546" authorId="2">
      <text>
        <r>
          <rPr>
            <b/>
            <sz val="9"/>
            <color indexed="81"/>
            <rFont val="Tahoma"/>
            <family val="2"/>
          </rPr>
          <t>ALQUILER C/SERTORIO JLF</t>
        </r>
      </text>
    </comment>
    <comment ref="AD568" authorId="2">
      <text>
        <r>
          <rPr>
            <b/>
            <sz val="9"/>
            <color indexed="81"/>
            <rFont val="Tahoma"/>
            <family val="2"/>
          </rPr>
          <t>Renting 6 meses pista atletismo=61.921,86€, y Campo fútbol del rodat=19,534,68€</t>
        </r>
      </text>
    </comment>
    <comment ref="AA582" authorId="2">
      <text>
        <r>
          <rPr>
            <b/>
            <sz val="9"/>
            <color indexed="81"/>
            <rFont val="Tahoma"/>
            <family val="2"/>
          </rPr>
          <t>MINI JOCS: 25.000€</t>
        </r>
      </text>
    </comment>
    <comment ref="AA591" authorId="2">
      <text>
        <r>
          <rPr>
            <b/>
            <sz val="9"/>
            <color indexed="81"/>
            <rFont val="Tahoma"/>
            <family val="2"/>
          </rPr>
          <t>Etapa vuelta ciclista</t>
        </r>
      </text>
    </comment>
    <comment ref="AA593" authorId="2">
      <text>
        <r>
          <rPr>
            <b/>
            <sz val="9"/>
            <color indexed="81"/>
            <rFont val="Tahoma"/>
            <family val="2"/>
          </rPr>
          <t>CALDERA j.Fuster
EDUSI 6</t>
        </r>
      </text>
    </comment>
    <comment ref="AD593" authorId="2">
      <text>
        <r>
          <rPr>
            <b/>
            <sz val="9"/>
            <color indexed="81"/>
            <rFont val="Tahoma"/>
            <family val="2"/>
          </rPr>
          <t>Caldera J.Fuster y placas solares=105.000€</t>
        </r>
      </text>
    </comment>
    <comment ref="AA616" authorId="2">
      <text>
        <r>
          <rPr>
            <b/>
            <sz val="9"/>
            <color indexed="81"/>
            <rFont val="Tahoma"/>
            <family val="2"/>
          </rPr>
          <t>Estrategia EDUSI 12
Cuadros eléctricos y contadores Mercado</t>
        </r>
      </text>
    </comment>
    <comment ref="AD616" authorId="2">
      <text>
        <r>
          <rPr>
            <sz val="9"/>
            <color indexed="81"/>
            <rFont val="Tahoma"/>
            <family val="2"/>
          </rPr>
          <t>Obras reforma aseo=40.000€
Alicatado zona pescado=22.000€</t>
        </r>
      </text>
    </comment>
    <comment ref="U617" authorId="1">
      <text>
        <r>
          <rPr>
            <b/>
            <sz val="8"/>
            <color indexed="81"/>
            <rFont val="Tahoma"/>
            <family val="2"/>
          </rPr>
          <t xml:space="preserve">AIRE ACOND MERCADO coste=240.
000
</t>
        </r>
      </text>
    </comment>
    <comment ref="P630" authorId="4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HABILITACION LONJA</t>
        </r>
      </text>
    </comment>
    <comment ref="S630" authorId="4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HABILITACION LONJA</t>
        </r>
      </text>
    </comment>
    <comment ref="AA638" authorId="2">
      <text>
        <r>
          <rPr>
            <b/>
            <sz val="9"/>
            <color indexed="81"/>
            <rFont val="Tahoma"/>
            <family val="2"/>
          </rPr>
          <t>Canon Explanada=24.134,60€
canon lonja=12,875,2€</t>
        </r>
      </text>
    </comment>
    <comment ref="X641" authorId="1">
      <text>
        <r>
          <rPr>
            <b/>
            <sz val="8"/>
            <color indexed="81"/>
            <rFont val="Tahoma"/>
            <family val="2"/>
          </rPr>
          <t>Ciudad creativa de la Gastronomía:25.000</t>
        </r>
      </text>
    </comment>
    <comment ref="X649" authorId="1">
      <text>
        <r>
          <rPr>
            <b/>
            <sz val="8"/>
            <color indexed="81"/>
            <rFont val="Tahoma"/>
            <family val="2"/>
          </rPr>
          <t>Fallas:1.500
Gamba Roja:5.000
ruta tapas:500</t>
        </r>
      </text>
    </comment>
    <comment ref="AD656" authorId="2">
      <text>
        <r>
          <rPr>
            <b/>
            <sz val="9"/>
            <color indexed="81"/>
            <rFont val="Tahoma"/>
            <family val="2"/>
          </rPr>
          <t>Mobiliario punto info port</t>
        </r>
      </text>
    </comment>
    <comment ref="AA666" authorId="2">
      <text>
        <r>
          <rPr>
            <b/>
            <sz val="9"/>
            <color indexed="81"/>
            <rFont val="Tahoma"/>
            <family val="2"/>
          </rPr>
          <t>Plan de apoyo al sector gastronómico 18,000€, y digitalización patrimonio culinario tradicional (creación website) incluiod EDUSI 2</t>
        </r>
      </text>
    </comment>
    <comment ref="AA668" authorId="2">
      <text>
        <r>
          <rPr>
            <b/>
            <sz val="9"/>
            <color indexed="81"/>
            <rFont val="Tahoma"/>
            <family val="2"/>
          </rPr>
          <t>Asesorías externas</t>
        </r>
      </text>
    </comment>
    <comment ref="AA671" authorId="2">
      <text>
        <r>
          <rPr>
            <b/>
            <sz val="9"/>
            <color indexed="81"/>
            <rFont val="Tahoma"/>
            <family val="2"/>
          </rPr>
          <t>Becas estudiantes de gastronomía y hostelería</t>
        </r>
      </text>
    </comment>
    <comment ref="AD675" authorId="2">
      <text>
        <r>
          <rPr>
            <b/>
            <sz val="9"/>
            <color indexed="81"/>
            <rFont val="Tahoma"/>
            <family val="2"/>
          </rPr>
          <t>Balizamiento=46.500€, y Bombeo=10.000€</t>
        </r>
      </text>
    </comment>
    <comment ref="AA708" authorId="2">
      <text>
        <r>
          <rPr>
            <b/>
            <sz val="9"/>
            <color indexed="81"/>
            <rFont val="Tahoma"/>
            <family val="2"/>
          </rPr>
          <t>CAMION PARQUE (33.640€)MOVIL OPCION COMPRA VEHICULOS 5112HSH y 5119HSH(12.540€)</t>
        </r>
      </text>
    </comment>
    <comment ref="AD708" authorId="2">
      <text>
        <r>
          <rPr>
            <b/>
            <sz val="9"/>
            <color indexed="81"/>
            <rFont val="Tahoma"/>
            <family val="2"/>
          </rPr>
          <t>camión grua</t>
        </r>
      </text>
    </comment>
    <comment ref="AD736" authorId="2">
      <text>
        <r>
          <rPr>
            <b/>
            <sz val="9"/>
            <color indexed="81"/>
            <rFont val="Tahoma"/>
            <family val="2"/>
          </rPr>
          <t>BECAS PRACTICAS ESTUDIANTES EN DEPARTAMENTOS</t>
        </r>
      </text>
    </comment>
    <comment ref="N737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FVMP 8,899,60</t>
        </r>
      </text>
    </comment>
    <comment ref="R737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FVMP
</t>
        </r>
      </text>
    </comment>
    <comment ref="AA737" authorId="2">
      <text>
        <r>
          <rPr>
            <b/>
            <sz val="9"/>
            <color indexed="81"/>
            <rFont val="Tahoma"/>
            <family val="2"/>
          </rPr>
          <t>Red entidades por la transparencia 3.000 €
FVMP: 9,972,72€</t>
        </r>
      </text>
    </comment>
    <comment ref="AD737" authorId="2">
      <text>
        <r>
          <rPr>
            <b/>
            <sz val="9"/>
            <color indexed="81"/>
            <rFont val="Tahoma"/>
            <family val="2"/>
          </rPr>
          <t>FVMP=9.951,60</t>
        </r>
      </text>
    </comment>
    <comment ref="M770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MANTENIMIENTO ASCENSORES
</t>
        </r>
      </text>
    </comment>
    <comment ref="AA770" authorId="2">
      <text>
        <r>
          <rPr>
            <b/>
            <sz val="9"/>
            <color indexed="81"/>
            <rFont val="Tahoma"/>
            <family val="2"/>
          </rPr>
          <t xml:space="preserve">mantenimiento ascensores 26.200€
</t>
        </r>
      </text>
    </comment>
    <comment ref="Q779" authorId="4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fija:85000 y móvil:65000</t>
        </r>
      </text>
    </comment>
    <comment ref="R779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telefonia y red privada virtual</t>
        </r>
      </text>
    </comment>
    <comment ref="AA781" authorId="2">
      <text>
        <r>
          <rPr>
            <b/>
            <sz val="9"/>
            <color indexed="81"/>
            <rFont val="Tahoma"/>
            <family val="2"/>
          </rPr>
          <t>nueva licitación seguros, con incrmento previsto RC</t>
        </r>
      </text>
    </comment>
    <comment ref="R783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contratos asesoramiento juridico, y convenio juan carlos perez nadal</t>
        </r>
      </text>
    </comment>
    <comment ref="AA783" authorId="2">
      <text>
        <r>
          <rPr>
            <b/>
            <sz val="9"/>
            <color indexed="81"/>
            <rFont val="Tahoma"/>
            <family val="2"/>
          </rPr>
          <t>contrato asesoramiento urbanistico etc : 72.600€
contrato tributaria, etc:48.400€
j.c. Pérez Nadal=154,700€</t>
        </r>
      </text>
    </comment>
    <comment ref="AA784" authorId="2">
      <text>
        <r>
          <rPr>
            <b/>
            <sz val="9"/>
            <color indexed="81"/>
            <rFont val="Tahoma"/>
            <family val="2"/>
          </rPr>
          <t xml:space="preserve">multipropiedad parque Denia:20.000€
</t>
        </r>
      </text>
    </comment>
    <comment ref="X786" authorId="1">
      <text>
        <r>
          <rPr>
            <b/>
            <sz val="8"/>
            <color indexed="81"/>
            <rFont val="Tahoma"/>
            <family val="2"/>
          </rPr>
          <t xml:space="preserve">PREVENTIVO SERVICIOS (CONV. CRUZ ROJA)
</t>
        </r>
      </text>
    </comment>
    <comment ref="AA786" authorId="2">
      <text>
        <r>
          <rPr>
            <b/>
            <sz val="9"/>
            <color indexed="81"/>
            <rFont val="Tahoma"/>
            <family val="2"/>
          </rPr>
          <t>preventivo Cruz Roja</t>
        </r>
      </text>
    </comment>
    <comment ref="AD794" authorId="2">
      <text>
        <r>
          <rPr>
            <b/>
            <sz val="9"/>
            <color indexed="81"/>
            <rFont val="Tahoma"/>
            <family val="2"/>
          </rPr>
          <t>Ascensor Ayto.</t>
        </r>
      </text>
    </comment>
    <comment ref="AA795" authorId="2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796" authorId="2">
      <text>
        <r>
          <rPr>
            <b/>
            <sz val="9"/>
            <color indexed="81"/>
            <rFont val="Tahoma"/>
            <family val="2"/>
          </rPr>
          <t>Rampa acceso atención público</t>
        </r>
      </text>
    </comment>
    <comment ref="AD796" authorId="2">
      <text>
        <r>
          <rPr>
            <b/>
            <sz val="9"/>
            <color indexed="81"/>
            <rFont val="Tahoma"/>
            <family val="2"/>
          </rPr>
          <t>Habilitación oficinas OAC</t>
        </r>
      </text>
    </comment>
    <comment ref="AD815" authorId="2">
      <text>
        <r>
          <rPr>
            <b/>
            <sz val="9"/>
            <color indexed="81"/>
            <rFont val="Tahoma"/>
            <family val="2"/>
          </rPr>
          <t>Mobiliario edificio C/ s.Josep</t>
        </r>
      </text>
    </comment>
    <comment ref="AA816" authorId="2">
      <text>
        <r>
          <rPr>
            <b/>
            <sz val="9"/>
            <color indexed="81"/>
            <rFont val="Tahoma"/>
            <family val="2"/>
          </rPr>
          <t>Arreglo nave poligono para Archivo</t>
        </r>
      </text>
    </comment>
    <comment ref="E825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SERVICIO DE PREVENCION
</t>
        </r>
      </text>
    </comment>
    <comment ref="X825" authorId="1">
      <text>
        <r>
          <rPr>
            <b/>
            <sz val="8"/>
            <color indexed="81"/>
            <rFont val="Tahoma"/>
            <family val="2"/>
          </rPr>
          <t>UMIVALES:19,148,12</t>
        </r>
      </text>
    </comment>
    <comment ref="X838" authorId="1">
      <text>
        <r>
          <rPr>
            <b/>
            <sz val="8"/>
            <color indexed="81"/>
            <rFont val="Tahoma"/>
            <family val="2"/>
          </rPr>
          <t>ASISTENCIA TECNICA</t>
        </r>
      </text>
    </comment>
    <comment ref="R848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renovacion infraest. Corporativa renting 4 años</t>
        </r>
      </text>
    </comment>
    <comment ref="AA848" authorId="2">
      <text>
        <r>
          <rPr>
            <b/>
            <sz val="9"/>
            <color indexed="81"/>
            <rFont val="Tahoma"/>
            <family val="2"/>
          </rPr>
          <t>Renting fotocopiadores nueva multifunción diversos departamentos</t>
        </r>
      </text>
    </comment>
    <comment ref="AD853" authorId="2">
      <text>
        <r>
          <rPr>
            <b/>
            <sz val="9"/>
            <color indexed="81"/>
            <rFont val="Tahoma"/>
            <family val="2"/>
          </rPr>
          <t>ABSIS=15.000€
consultoría implantación ENS=15.000€</t>
        </r>
      </text>
    </comment>
    <comment ref="X856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LIBRERÍA CINTAS BACKUP+ e puestos at.ciudadano
</t>
        </r>
      </text>
    </comment>
    <comment ref="AA856" authorId="2">
      <text>
        <r>
          <rPr>
            <b/>
            <sz val="9"/>
            <color indexed="81"/>
            <rFont val="Tahoma"/>
            <family val="2"/>
          </rPr>
          <t xml:space="preserve">3 servidores entorno visualización:40.000€
Renovación equipos y equipos para nuevos puestos:20.000€
</t>
        </r>
      </text>
    </comment>
    <comment ref="AD856" authorId="2">
      <text>
        <r>
          <rPr>
            <b/>
            <sz val="9"/>
            <color indexed="81"/>
            <rFont val="Tahoma"/>
            <family val="2"/>
          </rPr>
          <t>Cabina almacenamiento=75.000€
Terminales thinclient=10.000€
Red traslado S.Ec.=5.000€
Ordenadores Biblioteca=9.000€
Teléfonos IP=6.000€
Compra ordenadores, monitores, etc=10.000€</t>
        </r>
      </text>
    </comment>
    <comment ref="X857" authorId="1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150 LICENCIAS ROFESIONAL</t>
        </r>
      </text>
    </comment>
    <comment ref="AD857" authorId="2">
      <text>
        <r>
          <rPr>
            <b/>
            <sz val="9"/>
            <color indexed="81"/>
            <rFont val="Tahoma"/>
            <family val="2"/>
          </rPr>
          <t>Actualización call center polcía</t>
        </r>
      </text>
    </comment>
    <comment ref="G890" authorId="0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CONVENIO RIERA Y NAT
</t>
        </r>
      </text>
    </comment>
    <comment ref="M890" authorId="3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891" authorId="2">
      <text>
        <r>
          <rPr>
            <sz val="9"/>
            <color indexed="81"/>
            <rFont val="Tahoma"/>
            <family val="2"/>
          </rPr>
          <t>contrato mantenimiento cajeros 60.000€
Aytos=58500+29000=87.500</t>
        </r>
      </text>
    </comment>
    <comment ref="X895" authorId="1">
      <text>
        <r>
          <rPr>
            <sz val="8"/>
            <color indexed="81"/>
            <rFont val="Tahoma"/>
            <family val="2"/>
          </rPr>
          <t xml:space="preserve">intereses Ronda Perimetral 126,000
</t>
        </r>
      </text>
    </comment>
  </commentList>
</comments>
</file>

<file path=xl/comments3.xml><?xml version="1.0" encoding="utf-8"?>
<comments xmlns="http://schemas.openxmlformats.org/spreadsheetml/2006/main">
  <authors>
    <author>Constantino Baeza</author>
    <author>CBaeza</author>
    <author>administrador</author>
    <author>cbaeza</author>
    <author>Ajuntament de Dénia</author>
  </authors>
  <commentList>
    <comment ref="AD326" authorId="0">
      <text>
        <r>
          <rPr>
            <b/>
            <sz val="9"/>
            <color indexed="81"/>
            <rFont val="Tahoma"/>
            <family val="2"/>
          </rPr>
          <t>Alquiler nave polígono para departamento de Parq. Y Jardines</t>
        </r>
      </text>
    </comment>
    <comment ref="AD327" authorId="0">
      <text>
        <r>
          <rPr>
            <b/>
            <sz val="9"/>
            <color indexed="81"/>
            <rFont val="Tahoma"/>
            <family val="2"/>
          </rPr>
          <t>alquiler c/sertorio a fiestas pq está la junta local fallera</t>
        </r>
      </text>
    </comment>
    <comment ref="AD329" authorId="0">
      <text>
        <r>
          <rPr>
            <b/>
            <sz val="9"/>
            <color indexed="81"/>
            <rFont val="Tahoma"/>
            <family val="2"/>
          </rPr>
          <t>ALQUILER C/SERTORIO JLF</t>
        </r>
      </text>
    </comment>
    <comment ref="AD330" authorId="0">
      <text>
        <r>
          <rPr>
            <b/>
            <sz val="9"/>
            <color indexed="81"/>
            <rFont val="Tahoma"/>
            <family val="2"/>
          </rPr>
          <t>Renting 6 meses pista atletismo=61.921,86€, y Campo fútbol del rodat=19,534,68€</t>
        </r>
      </text>
    </comment>
    <comment ref="K333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renting maquinas ORA</t>
        </r>
      </text>
    </comment>
    <comment ref="AA357" authorId="0">
      <text>
        <r>
          <rPr>
            <b/>
            <sz val="9"/>
            <color indexed="81"/>
            <rFont val="Tahoma"/>
            <family val="2"/>
          </rPr>
          <t>Renting  vehículos hasta 2.020 por 104.523,36€ anuales</t>
        </r>
      </text>
    </comment>
    <comment ref="AA358" authorId="0">
      <text>
        <r>
          <rPr>
            <b/>
            <sz val="9"/>
            <color indexed="81"/>
            <rFont val="Tahoma"/>
            <family val="2"/>
          </rPr>
          <t>RENTING VEHÍCULO HASTA 2.020</t>
        </r>
      </text>
    </comment>
    <comment ref="A359" authorId="0">
      <text>
        <r>
          <rPr>
            <b/>
            <sz val="9"/>
            <color indexed="81"/>
            <rFont val="Tahoma"/>
            <family val="2"/>
          </rPr>
          <t xml:space="preserve">cambio de la 13400
</t>
        </r>
      </text>
    </comment>
    <comment ref="AA360" authorId="0">
      <text>
        <r>
          <rPr>
            <b/>
            <sz val="9"/>
            <color indexed="81"/>
            <rFont val="Tahoma"/>
            <family val="2"/>
          </rPr>
          <t>Renting 2 vehículos hasta 2.020</t>
        </r>
      </text>
    </comment>
    <comment ref="AD363" authorId="0">
      <text>
        <r>
          <rPr>
            <b/>
            <sz val="9"/>
            <color indexed="81"/>
            <rFont val="Tahoma"/>
            <family val="2"/>
          </rPr>
          <t>Renting dos vehículos y una furgoneta</t>
        </r>
      </text>
    </comment>
    <comment ref="AA364" authorId="0">
      <text>
        <r>
          <rPr>
            <b/>
            <sz val="9"/>
            <color indexed="81"/>
            <rFont val="Tahoma"/>
            <family val="2"/>
          </rPr>
          <t xml:space="preserve">Renting vehiculo hasta 2.20 por 7,244,16€ </t>
        </r>
      </text>
    </comment>
    <comment ref="R368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renovacion infraest. Corporativa renting 4 años</t>
        </r>
      </text>
    </comment>
    <comment ref="AA368" authorId="0">
      <text>
        <r>
          <rPr>
            <b/>
            <sz val="9"/>
            <color indexed="81"/>
            <rFont val="Tahoma"/>
            <family val="2"/>
          </rPr>
          <t>Renting fotocopiadores nueva multifunción diversos departamentos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Mantenimiento solares de interés patrimonial</t>
        </r>
      </text>
    </comment>
    <comment ref="R375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contrato dos años mantenimiento árboles y palmeras</t>
        </r>
      </text>
    </comment>
    <comment ref="V375" authorId="2">
      <text>
        <r>
          <rPr>
            <b/>
            <sz val="8"/>
            <color indexed="81"/>
            <rFont val="Tahoma"/>
            <family val="2"/>
          </rPr>
          <t xml:space="preserve">limpieza parcelas municipales
</t>
        </r>
      </text>
    </comment>
    <comment ref="AD376" authorId="0">
      <text>
        <r>
          <rPr>
            <b/>
            <sz val="9"/>
            <color indexed="81"/>
            <rFont val="Tahoma"/>
            <family val="2"/>
          </rPr>
          <t>Balizamiento=46.500€, y Bombeo=10.000€</t>
        </r>
      </text>
    </comment>
    <comment ref="P391" authorId="3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HABILITACION LONJA</t>
        </r>
      </text>
    </comment>
    <comment ref="S391" authorId="3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HABILITACION LONJA</t>
        </r>
      </text>
    </comment>
    <comment ref="M416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MANTENIMIENTO ASCENSORES
</t>
        </r>
      </text>
    </comment>
    <comment ref="AA416" authorId="0">
      <text>
        <r>
          <rPr>
            <b/>
            <sz val="9"/>
            <color indexed="81"/>
            <rFont val="Tahoma"/>
            <family val="2"/>
          </rPr>
          <t xml:space="preserve">mantenimiento ascensores 26.200€
</t>
        </r>
      </text>
    </comment>
    <comment ref="AA424" authorId="0">
      <text>
        <r>
          <rPr>
            <b/>
            <sz val="9"/>
            <color indexed="81"/>
            <rFont val="Tahoma"/>
            <family val="2"/>
          </rPr>
          <t>Renting vehiculo electricista hasta 2.020</t>
        </r>
      </text>
    </comment>
    <comment ref="X474" authorId="2">
      <text>
        <r>
          <rPr>
            <b/>
            <sz val="8"/>
            <color indexed="81"/>
            <rFont val="Tahoma"/>
            <family val="2"/>
          </rPr>
          <t>taifa</t>
        </r>
      </text>
    </comment>
    <comment ref="AA474" authorId="0">
      <text>
        <r>
          <rPr>
            <b/>
            <sz val="9"/>
            <color indexed="81"/>
            <rFont val="Tahoma"/>
            <family val="2"/>
          </rPr>
          <t>Taifa Milenaria:12.000€
guia en valenciano y alemán del castillo:6.000€
Proyección audiovisual historia castillo: 11.000€</t>
        </r>
      </text>
    </comment>
    <comment ref="Q559" authorId="3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fija:85000 y móvil:65000</t>
        </r>
      </text>
    </comment>
    <comment ref="R559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telefonia y red privada virtual</t>
        </r>
      </text>
    </comment>
    <comment ref="AA569" authorId="0">
      <text>
        <r>
          <rPr>
            <b/>
            <sz val="9"/>
            <color indexed="81"/>
            <rFont val="Tahoma"/>
            <family val="2"/>
          </rPr>
          <t>nueva licitación seguros, con incrmento previsto RC</t>
        </r>
      </text>
    </comment>
    <comment ref="AA573" authorId="0">
      <text>
        <r>
          <rPr>
            <b/>
            <sz val="9"/>
            <color indexed="81"/>
            <rFont val="Tahoma"/>
            <family val="2"/>
          </rPr>
          <t>canon control vertidos urb. No conectadas EDAR=26.194,06€(RECURRIDA).
Canon vertidos aguas marítimas litorales 2013-2014-2015=40.888,05€</t>
        </r>
      </text>
    </comment>
    <comment ref="AA574" authorId="0">
      <text>
        <r>
          <rPr>
            <b/>
            <sz val="9"/>
            <color indexed="81"/>
            <rFont val="Tahoma"/>
            <family val="2"/>
          </rPr>
          <t>Canon Explanada=24.134,60€
canon lonja=12,875,2€</t>
        </r>
      </text>
    </comment>
    <comment ref="R599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contratos asesoramiento juridico, y convenio juan carlos perez nadal</t>
        </r>
      </text>
    </comment>
    <comment ref="AA599" authorId="0">
      <text>
        <r>
          <rPr>
            <b/>
            <sz val="9"/>
            <color indexed="81"/>
            <rFont val="Tahoma"/>
            <family val="2"/>
          </rPr>
          <t>contrato asesoramiento urbanistico etc : 72.600€
contrato tributaria, etc:48.400€
j.c. Pérez Nadal=154,700€</t>
        </r>
      </text>
    </comment>
    <comment ref="AD600" authorId="0">
      <text>
        <r>
          <rPr>
            <b/>
            <sz val="9"/>
            <color indexed="81"/>
            <rFont val="Tahoma"/>
            <family val="2"/>
          </rPr>
          <t>Est.científica Montgó=20.000€</t>
        </r>
      </text>
    </comment>
    <comment ref="AA601" authorId="0">
      <text>
        <r>
          <rPr>
            <b/>
            <sz val="9"/>
            <color indexed="81"/>
            <rFont val="Tahoma"/>
            <family val="2"/>
          </rPr>
          <t xml:space="preserve">TAPIS: 7.000€
DISCAPACITADOS EN LA PLAYA:18.000€
TALLERES PARA PERSONAS CON DISCAPACIDAD:10.000€
</t>
        </r>
      </text>
    </comment>
    <comment ref="AA602" authorId="0">
      <text>
        <r>
          <rPr>
            <b/>
            <sz val="9"/>
            <color indexed="81"/>
            <rFont val="Tahoma"/>
            <family val="2"/>
          </rPr>
          <t>AMICS:1.500€
FERIA ASOCIACIONES:6.000€</t>
        </r>
      </text>
    </comment>
    <comment ref="AA610" authorId="0">
      <text>
        <r>
          <rPr>
            <b/>
            <sz val="9"/>
            <color indexed="81"/>
            <rFont val="Tahoma"/>
            <family val="2"/>
          </rPr>
          <t>MINI JOCS: 25.000€</t>
        </r>
      </text>
    </comment>
    <comment ref="X612" authorId="2">
      <text>
        <r>
          <rPr>
            <b/>
            <sz val="8"/>
            <color indexed="81"/>
            <rFont val="Tahoma"/>
            <family val="2"/>
          </rPr>
          <t>Ciudad creativa de la Gastronomía:25.000</t>
        </r>
      </text>
    </comment>
    <comment ref="AA613" authorId="0">
      <text>
        <r>
          <rPr>
            <b/>
            <sz val="9"/>
            <color indexed="81"/>
            <rFont val="Tahoma"/>
            <family val="2"/>
          </rPr>
          <t>Plan de apoyo al sector gastronómico 18,000€, y digitalización patrimonio culinario tradicional (creación website) incluiod EDUSI 2</t>
        </r>
      </text>
    </comment>
    <comment ref="E618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CONVENIOS ASOCIACIONES PROTECTORAS
</t>
        </r>
      </text>
    </comment>
    <comment ref="S618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FACTURAS APAD ATRASADAS</t>
        </r>
      </text>
    </comment>
    <comment ref="AA618" authorId="0">
      <text>
        <r>
          <rPr>
            <b/>
            <sz val="9"/>
            <color indexed="81"/>
            <rFont val="Tahoma"/>
            <family val="2"/>
          </rPr>
          <t xml:space="preserve">contrato recogida animales:10.312,50€
</t>
        </r>
      </text>
    </comment>
    <comment ref="AD618" authorId="0">
      <text>
        <r>
          <rPr>
            <b/>
            <sz val="9"/>
            <color indexed="81"/>
            <rFont val="Tahoma"/>
            <family val="2"/>
          </rPr>
          <t>caminos escolares=16.000€
Contrato animales=48.000€
Voluntariado ambiental=17.000€
Convenio aldea felina=7.500€</t>
        </r>
      </text>
    </comment>
    <comment ref="X623" authorId="2">
      <text>
        <r>
          <rPr>
            <b/>
            <sz val="8"/>
            <color indexed="81"/>
            <rFont val="Tahoma"/>
            <family val="2"/>
          </rPr>
          <t>SENTENCIA SERVICIO COSTAS PASAREAL=75239,31</t>
        </r>
      </text>
    </comment>
    <comment ref="AD623" authorId="0">
      <text>
        <r>
          <rPr>
            <b/>
            <sz val="9"/>
            <color indexed="81"/>
            <rFont val="Tahoma"/>
            <family val="2"/>
          </rPr>
          <t>Convenio Ronda Norte indemniación Ronda Perimetral=861.420,96€</t>
        </r>
      </text>
    </comment>
    <comment ref="L627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DIA DE LA DONA:2.500
DIA VIOLENCIA:2.500
</t>
        </r>
      </text>
    </comment>
    <comment ref="AD632" authorId="0">
      <text>
        <r>
          <rPr>
            <b/>
            <sz val="9"/>
            <color indexed="81"/>
            <rFont val="Tahoma"/>
            <family val="2"/>
          </rPr>
          <t>Adecuación para exposiciones local C/Foramur=30.000€</t>
        </r>
      </text>
    </comment>
    <comment ref="AA647" authorId="0">
      <text>
        <r>
          <rPr>
            <b/>
            <sz val="9"/>
            <color indexed="81"/>
            <rFont val="Tahoma"/>
            <family val="2"/>
          </rPr>
          <t xml:space="preserve">multipropiedad parque Denia:20.000€
</t>
        </r>
      </text>
    </comment>
    <comment ref="G653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CONVENIO RIERA Y NAT
</t>
        </r>
      </text>
    </comment>
    <comment ref="M653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55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mosquitos 38,500€ y legionela 33,000€</t>
        </r>
      </text>
    </comment>
    <comment ref="X655" authorId="2">
      <text>
        <r>
          <rPr>
            <b/>
            <sz val="8"/>
            <color indexed="81"/>
            <rFont val="Tahoma"/>
            <family val="2"/>
          </rPr>
          <t>legionela:36,300
desrat.:40,040</t>
        </r>
      </text>
    </comment>
    <comment ref="AA655" authorId="0">
      <text>
        <r>
          <rPr>
            <b/>
            <sz val="9"/>
            <color indexed="81"/>
            <rFont val="Tahoma"/>
            <family val="2"/>
          </rPr>
          <t>contrato legionela y desratización, y cionvenio Univerisdad Valencia</t>
        </r>
      </text>
    </comment>
    <comment ref="AD655" authorId="0">
      <text>
        <r>
          <rPr>
            <b/>
            <sz val="9"/>
            <color indexed="81"/>
            <rFont val="Tahoma"/>
            <family val="2"/>
          </rPr>
          <t>Legionnela=33.396€
desratización=36.877,32€
Convenio Univ.Valencia=27.889,00€</t>
        </r>
      </text>
    </comment>
    <comment ref="AD662" authorId="0">
      <text>
        <r>
          <rPr>
            <b/>
            <sz val="9"/>
            <color indexed="81"/>
            <rFont val="Tahoma"/>
            <family val="2"/>
          </rPr>
          <t>Linea autbús Montgó (1/4-30/9)</t>
        </r>
      </text>
    </comment>
    <comment ref="AA663" authorId="0">
      <text>
        <r>
          <rPr>
            <b/>
            <sz val="9"/>
            <color indexed="81"/>
            <rFont val="Tahoma"/>
            <family val="2"/>
          </rPr>
          <t xml:space="preserve">SERVICIO DE TRADUCCIONES
</t>
        </r>
      </text>
    </comment>
    <comment ref="I664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CONTRATO PLAN GEENRAL
</t>
        </r>
      </text>
    </comment>
    <comment ref="R664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CONVENIO COLEGIO ARQ.
</t>
        </r>
      </text>
    </comment>
    <comment ref="X664" authorId="2">
      <text>
        <r>
          <rPr>
            <b/>
            <sz val="8"/>
            <color indexed="81"/>
            <rFont val="Tahoma"/>
            <family val="2"/>
          </rPr>
          <t>REDAC. PYTO. CP LA XARA 181,866,44€</t>
        </r>
      </text>
    </comment>
    <comment ref="AA664" authorId="0">
      <text>
        <r>
          <rPr>
            <b/>
            <sz val="9"/>
            <color indexed="81"/>
            <rFont val="Tahoma"/>
            <family val="2"/>
          </rPr>
          <t xml:space="preserve"> contratación arquitecto y otros PG, y aistencia externa</t>
        </r>
      </text>
    </comment>
    <comment ref="Y666" authorId="2">
      <text>
        <r>
          <rPr>
            <b/>
            <sz val="8"/>
            <color indexed="81"/>
            <rFont val="Tahoma"/>
            <family val="2"/>
          </rPr>
          <t xml:space="preserve">convenio Universidad Alicante
</t>
        </r>
      </text>
    </comment>
    <comment ref="AA666" authorId="0">
      <text>
        <r>
          <rPr>
            <b/>
            <sz val="9"/>
            <color indexed="81"/>
            <rFont val="Tahoma"/>
            <family val="2"/>
          </rPr>
          <t>Estación científica Montgó 10.000€</t>
        </r>
      </text>
    </comment>
    <comment ref="AD666" authorId="0">
      <text>
        <r>
          <rPr>
            <b/>
            <sz val="9"/>
            <color indexed="81"/>
            <rFont val="Tahoma"/>
            <family val="2"/>
          </rPr>
          <t xml:space="preserve">Plan acústico=12.000€
Plan Inundaciones=10.00€
Plan Incendios=7.000€
</t>
        </r>
      </text>
    </comment>
    <comment ref="M667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SAD:85000
VIVIENDA TUTELADA ENF.MENTALES:110000
PLAYAS ACCESIBLES: 15.000</t>
        </r>
      </text>
    </comment>
    <comment ref="R667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servicio ayuda a domicilio 40.516,66 €
</t>
        </r>
      </text>
    </comment>
    <comment ref="X667" authorId="2">
      <text>
        <r>
          <rPr>
            <b/>
            <sz val="8"/>
            <color indexed="81"/>
            <rFont val="Tahoma"/>
            <family val="2"/>
          </rPr>
          <t xml:space="preserve">sad:52,399,36
</t>
        </r>
      </text>
    </comment>
    <comment ref="AA667" authorId="0">
      <text>
        <r>
          <rPr>
            <b/>
            <sz val="9"/>
            <color indexed="81"/>
            <rFont val="Tahoma"/>
            <family val="2"/>
          </rPr>
          <t>VIVIENDA TUTELADA:101.000€
PROV.FONDOS</t>
        </r>
      </text>
    </comment>
    <comment ref="AD667" authorId="0">
      <text>
        <r>
          <rPr>
            <b/>
            <sz val="9"/>
            <color indexed="81"/>
            <rFont val="Tahoma"/>
            <family val="2"/>
          </rPr>
          <t>Gestión vivienda tutelada=105.000€
Mantenimiemto vivienda tutelada =6.000€</t>
        </r>
      </text>
    </comment>
    <comment ref="E668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SEAFI (82.638,1€)
PAE (31.548,80€)
PAF(26.400€)
</t>
        </r>
      </text>
    </comment>
    <comment ref="M668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SEAFI:86000
ABSENTISMO:29000
ACOG.FAM.:12000
AYUDAS MENORES Y FAMILIAS:5000</t>
        </r>
      </text>
    </comment>
    <comment ref="R668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absentismo escolar 30.000€</t>
        </r>
      </text>
    </comment>
    <comment ref="AA668" authorId="0">
      <text>
        <r>
          <rPr>
            <b/>
            <sz val="9"/>
            <color indexed="81"/>
            <rFont val="Tahoma"/>
            <family val="2"/>
          </rPr>
          <t xml:space="preserve">SEAFI:86.000€
PAE:27.000€
ACTIVIDADES:15.000€
</t>
        </r>
      </text>
    </comment>
    <comment ref="G669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AULAS 245,511,39€, DINAMICS148,255€
PISO TUTELADO MUJERES 85.000
VACANCES PER A TOTOS 50,000
</t>
        </r>
      </text>
    </comment>
    <comment ref="L669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TALLERES=17.970+1.800=19770
AULAS:226.566,09
DINAMICS:138.030,48
VACANCES:30.000</t>
        </r>
      </text>
    </comment>
    <comment ref="X669" authorId="2">
      <text>
        <r>
          <rPr>
            <b/>
            <sz val="8"/>
            <color indexed="81"/>
            <rFont val="Tahoma"/>
            <family val="2"/>
          </rPr>
          <t xml:space="preserve">AULAS TRECERA EDAD Y DINAMICS
</t>
        </r>
      </text>
    </comment>
    <comment ref="AA669" authorId="0">
      <text>
        <r>
          <rPr>
            <b/>
            <sz val="9"/>
            <color indexed="81"/>
            <rFont val="Tahoma"/>
            <family val="2"/>
          </rPr>
          <t xml:space="preserve">AULAS TERCERA EDAD termina 1/10/2018
Plan de Igualdad 9.800€
Vacances:20.600€
</t>
        </r>
      </text>
    </comment>
    <comment ref="AD669" authorId="0">
      <text>
        <r>
          <rPr>
            <b/>
            <sz val="9"/>
            <color indexed="81"/>
            <rFont val="Tahoma"/>
            <family val="2"/>
          </rPr>
          <t>Program aulas tercera edad</t>
        </r>
      </text>
    </comment>
    <comment ref="AA670" authorId="0">
      <text>
        <r>
          <rPr>
            <b/>
            <sz val="9"/>
            <color indexed="81"/>
            <rFont val="Tahoma"/>
            <family val="2"/>
          </rPr>
          <t>contrato fisioterapeúta 30.000€</t>
        </r>
      </text>
    </comment>
    <comment ref="U671" authorId="2">
      <text>
        <r>
          <rPr>
            <b/>
            <sz val="8"/>
            <color indexed="81"/>
            <rFont val="Tahoma"/>
            <family val="2"/>
          </rPr>
          <t>Estudio mercado laboral</t>
        </r>
      </text>
    </comment>
    <comment ref="AA671" authorId="0">
      <text>
        <r>
          <rPr>
            <b/>
            <sz val="9"/>
            <color indexed="81"/>
            <rFont val="Tahoma"/>
            <family val="2"/>
          </rPr>
          <t>Convenio UNED</t>
        </r>
      </text>
    </comment>
    <comment ref="AD671" authorId="0">
      <text>
        <r>
          <rPr>
            <b/>
            <sz val="9"/>
            <color indexed="81"/>
            <rFont val="Tahoma"/>
            <family val="2"/>
          </rPr>
          <t>Convenio UNED 10000€
Plan apoyo emprendimiento=20.000€</t>
        </r>
      </text>
    </comment>
    <comment ref="AD672" authorId="0">
      <text>
        <r>
          <rPr>
            <b/>
            <sz val="9"/>
            <color indexed="81"/>
            <rFont val="Tahoma"/>
            <family val="2"/>
          </rPr>
          <t xml:space="preserve">SMSO
</t>
        </r>
      </text>
    </comment>
    <comment ref="AA673" authorId="0">
      <text>
        <r>
          <rPr>
            <b/>
            <sz val="9"/>
            <color indexed="81"/>
            <rFont val="Tahoma"/>
            <family val="2"/>
          </rPr>
          <t>Plan Director:30.000€
Estrategia DUSI 13</t>
        </r>
      </text>
    </comment>
    <comment ref="AD673" authorId="0">
      <text>
        <r>
          <rPr>
            <b/>
            <sz val="9"/>
            <color indexed="81"/>
            <rFont val="Tahoma"/>
            <family val="2"/>
          </rPr>
          <t>Plan Director del castillo=40.000€</t>
        </r>
      </text>
    </comment>
    <comment ref="L674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LLUNATICS:29.166
AT.PSICOLOGICA11.040</t>
        </r>
      </text>
    </comment>
    <comment ref="X674" authorId="2">
      <text>
        <r>
          <rPr>
            <b/>
            <sz val="8"/>
            <color indexed="81"/>
            <rFont val="Tahoma"/>
            <family val="2"/>
          </rPr>
          <t>24200 SONIDO JUVENTUD Y MAYOR
13302,10 At.psicológica
33275 LLUNATICS
35000 ESCOLA TATRE
DINAMICS 148.830</t>
        </r>
      </text>
    </comment>
    <comment ref="AA674" authorId="0">
      <text>
        <r>
          <rPr>
            <b/>
            <sz val="9"/>
            <color indexed="81"/>
            <rFont val="Tahoma"/>
            <family val="2"/>
          </rPr>
          <t>Consulta Jove:11.010€
ETC:35.000€
Dinamics y Llunatics:89.540€
Serviciio imagen y sonido:17.268€
Servicio de asesoramiento:8.500€</t>
        </r>
      </text>
    </comment>
    <comment ref="AD674" authorId="0">
      <text>
        <r>
          <rPr>
            <b/>
            <sz val="9"/>
            <color indexed="81"/>
            <rFont val="Tahoma"/>
            <family val="2"/>
          </rPr>
          <t>Consulta jove=11.010€
Escuela teatro=48.000€
Dinamics y Llunatics=90.000€
Imagen,sonido e ilum.=17.268€
As.juridico al joven=10.500€
Activ.adolescentes viernes=27.000€</t>
        </r>
      </text>
    </comment>
    <comment ref="AA678" authorId="0">
      <text>
        <r>
          <rPr>
            <b/>
            <sz val="9"/>
            <color indexed="81"/>
            <rFont val="Tahoma"/>
            <family val="2"/>
          </rPr>
          <t>Asesorías externas</t>
        </r>
      </text>
    </comment>
    <comment ref="X680" authorId="2">
      <text>
        <r>
          <rPr>
            <b/>
            <sz val="8"/>
            <color indexed="81"/>
            <rFont val="Tahoma"/>
            <family val="2"/>
          </rPr>
          <t xml:space="preserve">PREVENTIVO SERVICIOS (CONV. CRUZ ROJA)
</t>
        </r>
      </text>
    </comment>
    <comment ref="AA680" authorId="0">
      <text>
        <r>
          <rPr>
            <b/>
            <sz val="9"/>
            <color indexed="81"/>
            <rFont val="Tahoma"/>
            <family val="2"/>
          </rPr>
          <t>preventivo Cruz Roja</t>
        </r>
      </text>
    </comment>
    <comment ref="E681" authorId="1">
      <text>
        <r>
          <rPr>
            <b/>
            <sz val="8"/>
            <color indexed="81"/>
            <rFont val="Tahoma"/>
            <family val="2"/>
          </rPr>
          <t>CBaeza:</t>
        </r>
        <r>
          <rPr>
            <sz val="8"/>
            <color indexed="81"/>
            <rFont val="Tahoma"/>
            <family val="2"/>
          </rPr>
          <t xml:space="preserve">
SERVICIO DE PREVENCION
</t>
        </r>
      </text>
    </comment>
    <comment ref="X681" authorId="2">
      <text>
        <r>
          <rPr>
            <b/>
            <sz val="8"/>
            <color indexed="81"/>
            <rFont val="Tahoma"/>
            <family val="2"/>
          </rPr>
          <t>UMIVALES:19,148,12</t>
        </r>
      </text>
    </comment>
    <comment ref="X682" authorId="2">
      <text>
        <r>
          <rPr>
            <b/>
            <sz val="8"/>
            <color indexed="81"/>
            <rFont val="Tahoma"/>
            <family val="2"/>
          </rPr>
          <t>ASISTENCIA TECNICA</t>
        </r>
      </text>
    </comment>
    <comment ref="AD683" authorId="0">
      <text>
        <r>
          <rPr>
            <b/>
            <sz val="9"/>
            <color indexed="81"/>
            <rFont val="Tahoma"/>
            <family val="2"/>
          </rPr>
          <t>ABSIS=15.000€
consultoría implantación ENS=15.000€</t>
        </r>
      </text>
    </comment>
    <comment ref="AA684" authorId="0">
      <text>
        <r>
          <rPr>
            <sz val="9"/>
            <color indexed="81"/>
            <rFont val="Tahoma"/>
            <family val="2"/>
          </rPr>
          <t>contrato mantenimiento cajeros 60.000€
Aytos=58500+29000=87.500</t>
        </r>
      </text>
    </comment>
    <comment ref="S687" authorId="2">
      <text>
        <r>
          <rPr>
            <b/>
            <sz val="8"/>
            <color indexed="81"/>
            <rFont val="Tahoma"/>
            <family val="2"/>
          </rPr>
          <t>16,500€ eliminación 3,000TM</t>
        </r>
      </text>
    </comment>
    <comment ref="AA692" authorId="0">
      <text>
        <r>
          <rPr>
            <b/>
            <sz val="9"/>
            <color indexed="81"/>
            <rFont val="Tahoma"/>
            <family val="2"/>
          </rPr>
          <t xml:space="preserve">SAD=125.000
</t>
        </r>
      </text>
    </comment>
    <comment ref="X748" authorId="2">
      <text>
        <r>
          <rPr>
            <sz val="8"/>
            <color indexed="81"/>
            <rFont val="Tahoma"/>
            <family val="2"/>
          </rPr>
          <t xml:space="preserve">intereses Ronda Perimetral 126,000
</t>
        </r>
      </text>
    </comment>
    <comment ref="S755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plan de empleo</t>
        </r>
      </text>
    </comment>
    <comment ref="X755" authorId="2">
      <text>
        <r>
          <rPr>
            <b/>
            <sz val="8"/>
            <color indexed="81"/>
            <rFont val="Tahoma"/>
            <family val="2"/>
          </rPr>
          <t>PLAN EMPLEO 50,000€</t>
        </r>
      </text>
    </comment>
    <comment ref="AA755" authorId="0">
      <text>
        <r>
          <rPr>
            <b/>
            <sz val="9"/>
            <color indexed="81"/>
            <rFont val="Tahoma"/>
            <family val="2"/>
          </rPr>
          <t>268.838€ aportación
50.00 € plan empleo</t>
        </r>
      </text>
    </comment>
    <comment ref="AD759" authorId="0">
      <text>
        <r>
          <rPr>
            <b/>
            <sz val="9"/>
            <color indexed="81"/>
            <rFont val="Tahoma"/>
            <family val="2"/>
          </rPr>
          <t>A partir del 1/7/2018, ya no factura FCC . Se realizarán aportaciones al Consorcio.</t>
        </r>
      </text>
    </comment>
    <comment ref="N764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PEISS</t>
        </r>
      </text>
    </comment>
    <comment ref="AA764" authorId="0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764" authorId="0">
      <text>
        <r>
          <rPr>
            <sz val="9"/>
            <color indexed="81"/>
            <rFont val="Tahoma"/>
            <family val="2"/>
          </rPr>
          <t xml:space="preserve">PEIS
</t>
        </r>
      </text>
    </comment>
    <comment ref="X774" authorId="2">
      <text>
        <r>
          <rPr>
            <b/>
            <sz val="8"/>
            <color indexed="81"/>
            <rFont val="Tahoma"/>
            <family val="2"/>
          </rPr>
          <t>Fallas:1.500
Gamba Roja:5.000
ruta tapas:500</t>
        </r>
      </text>
    </comment>
    <comment ref="AA775" authorId="0">
      <text>
        <r>
          <rPr>
            <b/>
            <sz val="9"/>
            <color indexed="81"/>
            <rFont val="Tahoma"/>
            <family val="2"/>
          </rPr>
          <t>Becas estudiantes de gastronomía y hostelería</t>
        </r>
      </text>
    </comment>
    <comment ref="AD777" authorId="0">
      <text>
        <r>
          <rPr>
            <b/>
            <sz val="9"/>
            <color indexed="81"/>
            <rFont val="Tahoma"/>
            <family val="2"/>
          </rPr>
          <t>Ayudas pobreza energética=40.000€
Ayudas sociales ref. IBI=60.000€</t>
        </r>
      </text>
    </comment>
    <comment ref="N784" authorId="4">
      <text>
        <r>
          <rPr>
            <b/>
            <sz val="8"/>
            <color indexed="81"/>
            <rFont val="Tahoma"/>
            <family val="2"/>
          </rPr>
          <t>Ajuntament de Dénia:</t>
        </r>
        <r>
          <rPr>
            <sz val="8"/>
            <color indexed="81"/>
            <rFont val="Tahoma"/>
            <family val="2"/>
          </rPr>
          <t xml:space="preserve">
FVMP 8,899,60</t>
        </r>
      </text>
    </comment>
    <comment ref="R784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FVMP
</t>
        </r>
      </text>
    </comment>
    <comment ref="AA784" authorId="0">
      <text>
        <r>
          <rPr>
            <b/>
            <sz val="9"/>
            <color indexed="81"/>
            <rFont val="Tahoma"/>
            <family val="2"/>
          </rPr>
          <t>Red entidades por la transparencia 3.000 €
FVMP: 9,972,72€</t>
        </r>
      </text>
    </comment>
    <comment ref="AD784" authorId="0">
      <text>
        <r>
          <rPr>
            <b/>
            <sz val="9"/>
            <color indexed="81"/>
            <rFont val="Tahoma"/>
            <family val="2"/>
          </rPr>
          <t>FVMP=9.951,60</t>
        </r>
      </text>
    </comment>
    <comment ref="AA796" authorId="0">
      <text>
        <r>
          <rPr>
            <b/>
            <sz val="9"/>
            <color indexed="81"/>
            <rFont val="Tahoma"/>
            <family val="2"/>
          </rPr>
          <t>Etapa vuelta ciclista</t>
        </r>
      </text>
    </comment>
    <comment ref="X809" authorId="2">
      <text>
        <r>
          <rPr>
            <b/>
            <sz val="8"/>
            <color indexed="81"/>
            <rFont val="Tahoma"/>
            <family val="2"/>
          </rPr>
          <t xml:space="preserve">OBRAS ECOPARQUE IBERDROLA SEGÚN CONVENIO
</t>
        </r>
      </text>
    </comment>
    <comment ref="AA809" authorId="0">
      <text>
        <r>
          <rPr>
            <b/>
            <sz val="9"/>
            <color indexed="81"/>
            <rFont val="Tahoma"/>
            <family val="2"/>
          </rPr>
          <t>Rotonda  C/Diana cofinan.=60.000€
Acond. Av. Joan Fuster=24.000€
Obras Cova de l`Aigua=100.000€
Derribo y aond. Ramis Gualde a C/La Vía=20.000€
Acond. Avda. Valencia con Gandía (casa polaca)=12.000€
Acond. Plaza Grup mariners=40.000€</t>
        </r>
      </text>
    </comment>
    <comment ref="AD809" authorId="0">
      <text>
        <r>
          <rPr>
            <b/>
            <sz val="9"/>
            <color indexed="81"/>
            <rFont val="Tahoma"/>
            <family val="2"/>
          </rPr>
          <t xml:space="preserve">Rotonda cruce C/diana y J.Fuster=241.528,69€
Obras cova de L' Aigua=132.425€
Acond. Mariners=33.305€
derribo nave Ramis Gualde=20.000€
</t>
        </r>
      </text>
    </comment>
    <comment ref="AD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
C/Pintor llorens0225.000€</t>
        </r>
      </text>
    </comment>
    <comment ref="B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X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Y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Z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B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C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D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E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F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H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I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J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K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M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N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O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P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R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S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T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U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V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X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Y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Z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A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C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D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E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F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H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I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J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K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L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N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O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P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Q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S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T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U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V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X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Y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BZ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A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B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D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E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F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G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I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J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K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L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N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O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P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Q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R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T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U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V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W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Y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CZ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A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B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D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E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F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G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H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J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K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L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M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O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P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Q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R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T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U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V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W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X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DZ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A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B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C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E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F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G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H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J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K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L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M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N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P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Q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R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S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U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V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W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X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EZ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A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B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C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D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F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G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H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I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K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L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M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N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P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Q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R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S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T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V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W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X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FY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A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B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C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D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F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G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H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I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J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L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M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N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O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Q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R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S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T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V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W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X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Y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GZ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B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C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D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E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G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H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I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J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L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M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N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O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P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R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S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T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U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W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X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Y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HZ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B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C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D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E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F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H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I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J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K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M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N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O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P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R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S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T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U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V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X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Y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IZ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A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C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D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E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F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H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I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J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K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L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N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O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P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Q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S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T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U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V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X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Y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JZ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A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B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D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E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F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G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I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J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K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L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N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O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P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Q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R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T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U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V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W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Y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KZ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A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B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D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E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F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G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H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J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K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L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M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O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P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Q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R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T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U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V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W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X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LZ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A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B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C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E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F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G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H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J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K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L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M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N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P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Q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R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S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U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V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W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X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MZ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A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B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C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D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F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G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H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I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K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L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M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N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P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Q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R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S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T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V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W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X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NY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A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B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C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D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F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G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H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I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J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L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M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N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O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Q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R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S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T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V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W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X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Y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OZ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B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C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D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E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G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H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I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J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L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M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N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O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P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R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S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T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U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W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X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Y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PZ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B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C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D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E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F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H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I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J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K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M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N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O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P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R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S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T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U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V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X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Y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QZ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A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C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D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E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F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H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I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J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K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L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N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O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P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Q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S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T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U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V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X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Y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RZ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A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B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D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E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F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G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I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J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K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L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N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O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P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Q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R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T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U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V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W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Y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SZ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A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B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D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E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F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G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H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J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K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L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M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O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P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Q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R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T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U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V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W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X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TZ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A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B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C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E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F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G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H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J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K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L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M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N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P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Q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R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S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U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V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W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X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UZ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A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B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C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D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F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G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H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I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K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L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M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N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P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Q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R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S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T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V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W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X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VY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A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B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C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D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F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G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H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I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J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L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M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N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O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QC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RI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SO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TU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VA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WG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XM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YS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WZY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XBE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XCK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XDQ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XEW810" authorId="0">
      <text>
        <r>
          <rPr>
            <b/>
            <sz val="9"/>
            <color indexed="81"/>
            <rFont val="Tahoma"/>
            <family val="2"/>
          </rPr>
          <t>Presupuestos participativos:
Colocación de bancos y papeleras en Avda. Alicante (Barrio Oeste-campaments)=13.095,23€
Espejos de seguridad en cruces (Barrio París-Camp Roig)=544€
Asfaltado cami cementerio desde estanco El Moli hasta cruce con La Xara=224.739,02€
Pluviales G. San Andrés=30.000€</t>
        </r>
      </text>
    </comment>
    <comment ref="AA811" authorId="0">
      <text>
        <r>
          <rPr>
            <b/>
            <sz val="9"/>
            <color indexed="81"/>
            <rFont val="Tahoma"/>
            <family val="2"/>
          </rPr>
          <t>Plan Provincial ahorro energético</t>
        </r>
      </text>
    </comment>
    <comment ref="AD811" authorId="0">
      <text>
        <r>
          <rPr>
            <b/>
            <sz val="9"/>
            <color indexed="81"/>
            <rFont val="Tahoma"/>
            <family val="2"/>
          </rPr>
          <t xml:space="preserve">Presupuestos participativos:
adecuación estación científica Montgó (Barrio Montgó)=22.000€
</t>
        </r>
      </text>
    </comment>
    <comment ref="X812" authorId="2">
      <text>
        <r>
          <rPr>
            <b/>
            <sz val="8"/>
            <color indexed="81"/>
            <rFont val="Tahoma"/>
            <family val="2"/>
          </rPr>
          <t>PARQUE PERROS TORRECREMADA</t>
        </r>
      </text>
    </comment>
    <comment ref="AA812" authorId="0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13" authorId="0">
      <text>
        <r>
          <rPr>
            <b/>
            <sz val="9"/>
            <color indexed="81"/>
            <rFont val="Tahoma"/>
            <family val="2"/>
          </rPr>
          <t>Adecuación Antigua Lonja Museo del Mar</t>
        </r>
      </text>
    </comment>
    <comment ref="AD814" authorId="0">
      <text>
        <r>
          <rPr>
            <b/>
            <sz val="9"/>
            <color indexed="81"/>
            <rFont val="Tahoma"/>
            <family val="2"/>
          </rPr>
          <t>Presupuestos participativos de creación ´reas biosaludables en Baix La Mar y Faroleta por 46.000€, y parque street woorkout en Les Marines =20.000€</t>
        </r>
      </text>
    </comment>
    <comment ref="AD815" authorId="0">
      <text>
        <r>
          <rPr>
            <b/>
            <sz val="9"/>
            <color indexed="81"/>
            <rFont val="Tahoma"/>
            <family val="2"/>
          </rPr>
          <t>Obra restauración El Verger Alt y del Baluarte Oriental en el castillo=316.461,22€
Pasarela y adecuación castillo para exposiciones=30.000€</t>
        </r>
      </text>
    </comment>
    <comment ref="AD816" authorId="0">
      <text>
        <r>
          <rPr>
            <b/>
            <sz val="9"/>
            <color indexed="81"/>
            <rFont val="Tahoma"/>
            <family val="2"/>
          </rPr>
          <t>Rehabilit. Sala polivalente Llunatics=68.000€</t>
        </r>
      </text>
    </comment>
    <comment ref="X818" authorId="2">
      <text>
        <r>
          <rPr>
            <b/>
            <sz val="8"/>
            <color indexed="81"/>
            <rFont val="Tahoma"/>
            <family val="2"/>
          </rPr>
          <t>OP.COMPRA NISSAN+3SCOOTERS+2 QUADS PLAYAS+4 MOTOS+ETILOMETRO Y TEST DROGAS+REFORMA TUNEL</t>
        </r>
      </text>
    </comment>
    <comment ref="U819" authorId="2">
      <text>
        <r>
          <rPr>
            <b/>
            <sz val="8"/>
            <color indexed="81"/>
            <rFont val="Tahoma"/>
            <family val="2"/>
          </rPr>
          <t xml:space="preserve">FREADORA:7000
Maquina pintar:20000
</t>
        </r>
      </text>
    </comment>
    <comment ref="Z820" authorId="0">
      <text>
        <r>
          <rPr>
            <b/>
            <sz val="9"/>
            <color indexed="81"/>
            <rFont val="Tahoma"/>
            <family val="2"/>
          </rPr>
          <t>fotocopiadora</t>
        </r>
      </text>
    </comment>
    <comment ref="AA820" authorId="0">
      <text>
        <r>
          <rPr>
            <b/>
            <sz val="9"/>
            <color indexed="81"/>
            <rFont val="Tahoma"/>
            <family val="2"/>
          </rPr>
          <t>PLOTTER</t>
        </r>
      </text>
    </comment>
    <comment ref="AD823" authorId="0">
      <text>
        <r>
          <rPr>
            <b/>
            <sz val="9"/>
            <color indexed="81"/>
            <rFont val="Tahoma"/>
            <family val="2"/>
          </rPr>
          <t>Ascensor Ag.Lectura Baix La Mar=32.150€</t>
        </r>
      </text>
    </comment>
    <comment ref="X824" authorId="2">
      <text>
        <r>
          <rPr>
            <b/>
            <sz val="8"/>
            <color indexed="81"/>
            <rFont val="Tahoma"/>
            <family val="2"/>
          </rPr>
          <t xml:space="preserve">ASCENSOR CASA CULTURA
</t>
        </r>
      </text>
    </comment>
    <comment ref="AA824" authorId="0">
      <text>
        <r>
          <rPr>
            <b/>
            <sz val="9"/>
            <color indexed="81"/>
            <rFont val="Tahoma"/>
            <family val="2"/>
          </rPr>
          <t>climatización centre d´art</t>
        </r>
      </text>
    </comment>
    <comment ref="X825" authorId="2">
      <text>
        <r>
          <rPr>
            <b/>
            <sz val="8"/>
            <color indexed="81"/>
            <rFont val="Tahoma"/>
            <family val="2"/>
          </rPr>
          <t>ASCENSOR MUSEO JUGUETE</t>
        </r>
      </text>
    </comment>
    <comment ref="AA825" authorId="0">
      <text>
        <r>
          <rPr>
            <b/>
            <sz val="9"/>
            <color indexed="81"/>
            <rFont val="Tahoma"/>
            <family val="2"/>
          </rPr>
          <t xml:space="preserve">Señalización El Fortí :20.000€
Ascensor Museo del Juguete: 60.000€
</t>
        </r>
      </text>
    </comment>
    <comment ref="AD825" authorId="0">
      <text>
        <r>
          <rPr>
            <b/>
            <sz val="9"/>
            <color indexed="81"/>
            <rFont val="Tahoma"/>
            <family val="2"/>
          </rPr>
          <t xml:space="preserve">Ascensor museo=46.000€
señalética castillo=7000
</t>
        </r>
      </text>
    </comment>
    <comment ref="AA827" authorId="0">
      <text>
        <r>
          <rPr>
            <b/>
            <sz val="9"/>
            <color indexed="81"/>
            <rFont val="Tahoma"/>
            <family val="2"/>
          </rPr>
          <t>CALDERA j.Fuster
EDUSI 6</t>
        </r>
      </text>
    </comment>
    <comment ref="AD827" authorId="0">
      <text>
        <r>
          <rPr>
            <b/>
            <sz val="9"/>
            <color indexed="81"/>
            <rFont val="Tahoma"/>
            <family val="2"/>
          </rPr>
          <t>Caldera J.Fuster y placas solares=105.000€</t>
        </r>
      </text>
    </comment>
    <comment ref="AD828" authorId="0">
      <text>
        <r>
          <rPr>
            <b/>
            <sz val="9"/>
            <color indexed="81"/>
            <rFont val="Tahoma"/>
            <family val="2"/>
          </rPr>
          <t>Ascensor Ayto.</t>
        </r>
      </text>
    </comment>
    <comment ref="AA829" authorId="0">
      <text>
        <r>
          <rPr>
            <b/>
            <sz val="9"/>
            <color indexed="81"/>
            <rFont val="Tahoma"/>
            <family val="2"/>
          </rPr>
          <t xml:space="preserve">Adq. 4 motos
</t>
        </r>
      </text>
    </comment>
    <comment ref="AA830" authorId="0">
      <text>
        <r>
          <rPr>
            <b/>
            <sz val="9"/>
            <color indexed="81"/>
            <rFont val="Tahoma"/>
            <family val="2"/>
          </rPr>
          <t>Adq. 1 vehiculos eléctricos con subv. IVACE del 20%</t>
        </r>
      </text>
    </comment>
    <comment ref="AA831" authorId="0">
      <text>
        <r>
          <rPr>
            <b/>
            <sz val="9"/>
            <color indexed="81"/>
            <rFont val="Tahoma"/>
            <family val="2"/>
          </rPr>
          <t>OPCION COMPRA 2 VEHICULOS PARQUES Y JARDINES</t>
        </r>
      </text>
    </comment>
    <comment ref="AA832" authorId="0">
      <text>
        <r>
          <rPr>
            <b/>
            <sz val="9"/>
            <color indexed="81"/>
            <rFont val="Tahoma"/>
            <family val="2"/>
          </rPr>
          <t>CAMION PARQUE (33.640€)MOVIL OPCION COMPRA VEHICULOS 5112HSH y 5119HSH(12.540€)</t>
        </r>
      </text>
    </comment>
    <comment ref="AD832" authorId="0">
      <text>
        <r>
          <rPr>
            <b/>
            <sz val="9"/>
            <color indexed="81"/>
            <rFont val="Tahoma"/>
            <family val="2"/>
          </rPr>
          <t>camión grua</t>
        </r>
      </text>
    </comment>
    <comment ref="AD833" authorId="0">
      <text>
        <r>
          <rPr>
            <b/>
            <sz val="9"/>
            <color indexed="81"/>
            <rFont val="Tahoma"/>
            <family val="2"/>
          </rPr>
          <t>20 SILLAS</t>
        </r>
      </text>
    </comment>
    <comment ref="AA838" authorId="0">
      <text>
        <r>
          <rPr>
            <b/>
            <sz val="9"/>
            <color indexed="81"/>
            <rFont val="Tahoma"/>
            <family val="2"/>
          </rPr>
          <t>BUTACAS ANFITEATRO CENTRO SOCIAL</t>
        </r>
      </text>
    </comment>
    <comment ref="AD839" authorId="0">
      <text>
        <r>
          <rPr>
            <b/>
            <sz val="9"/>
            <color indexed="81"/>
            <rFont val="Tahoma"/>
            <family val="2"/>
          </rPr>
          <t>Mobiliario punto info port</t>
        </r>
      </text>
    </comment>
    <comment ref="AA840" authorId="0">
      <text>
        <r>
          <rPr>
            <b/>
            <sz val="9"/>
            <color indexed="81"/>
            <rFont val="Tahoma"/>
            <family val="2"/>
          </rPr>
          <t>Constantino Baeza: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41" authorId="0">
      <text>
        <r>
          <rPr>
            <b/>
            <sz val="9"/>
            <color indexed="81"/>
            <rFont val="Tahoma"/>
            <family val="2"/>
          </rPr>
          <t>Mobiliario edificio C/ s.Josep</t>
        </r>
      </text>
    </comment>
    <comment ref="X842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LIBRERÍA CINTAS BACKUP+ e puestos at.ciudadano
</t>
        </r>
      </text>
    </comment>
    <comment ref="AA842" authorId="0">
      <text>
        <r>
          <rPr>
            <b/>
            <sz val="9"/>
            <color indexed="81"/>
            <rFont val="Tahoma"/>
            <family val="2"/>
          </rPr>
          <t xml:space="preserve">3 servidores entorno visualización:40.000€
Renovación equipos y equipos para nuevos puestos:20.000€
</t>
        </r>
      </text>
    </comment>
    <comment ref="AD842" authorId="0">
      <text>
        <r>
          <rPr>
            <b/>
            <sz val="9"/>
            <color indexed="81"/>
            <rFont val="Tahoma"/>
            <family val="2"/>
          </rPr>
          <t>Cabina almacenamiento=75.000€
Terminales thinclient=10.000€
Red traslado S.Ec.=5.000€
Ordenadores Biblioteca=9.000€
Teléfonos IP=6.000€
Compra ordenadores, monitores, etc=10.000€</t>
        </r>
      </text>
    </comment>
    <comment ref="AA844" authorId="0">
      <text>
        <r>
          <rPr>
            <b/>
            <sz val="9"/>
            <color indexed="81"/>
            <rFont val="Tahoma"/>
            <family val="2"/>
          </rPr>
          <t xml:space="preserve">Reparación pilares y cubierta residencia
</t>
        </r>
      </text>
    </comment>
    <comment ref="AD844" authorId="0">
      <text>
        <r>
          <rPr>
            <b/>
            <sz val="9"/>
            <color indexed="81"/>
            <rFont val="Tahoma"/>
            <family val="2"/>
          </rPr>
          <t>Reparación patología en vigas y pilares=44.500€</t>
        </r>
      </text>
    </comment>
    <comment ref="AD845" authorId="0">
      <text>
        <r>
          <rPr>
            <b/>
            <sz val="9"/>
            <color indexed="81"/>
            <rFont val="Tahoma"/>
            <family val="2"/>
          </rPr>
          <t>Inversiones no relice GV en techos y ventanas de colegios Cervantes,Llebeig,Pou, y Vessanes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846" authorId="0">
      <text>
        <r>
          <rPr>
            <b/>
            <sz val="9"/>
            <color indexed="81"/>
            <rFont val="Tahoma"/>
            <family val="2"/>
          </rPr>
          <t>Rampa acceso atención público</t>
        </r>
      </text>
    </comment>
    <comment ref="AD846" authorId="0">
      <text>
        <r>
          <rPr>
            <b/>
            <sz val="9"/>
            <color indexed="81"/>
            <rFont val="Tahoma"/>
            <family val="2"/>
          </rPr>
          <t>Habilitación oficinas OAC</t>
        </r>
      </text>
    </comment>
    <comment ref="AA847" authorId="0">
      <text>
        <r>
          <rPr>
            <b/>
            <sz val="9"/>
            <color indexed="81"/>
            <rFont val="Tahoma"/>
            <family val="2"/>
          </rPr>
          <t>Arreglo nave poligono para Archivo</t>
        </r>
      </text>
    </comment>
    <comment ref="AA848" authorId="0">
      <text>
        <r>
          <rPr>
            <b/>
            <sz val="9"/>
            <color indexed="81"/>
            <rFont val="Tahoma"/>
            <family val="2"/>
          </rPr>
          <t>Estrategia EDUSI 12
Cuadros eléctricos y contadores Mercado</t>
        </r>
      </text>
    </comment>
    <comment ref="AD848" authorId="0">
      <text>
        <r>
          <rPr>
            <sz val="9"/>
            <color indexed="81"/>
            <rFont val="Tahoma"/>
            <family val="2"/>
          </rPr>
          <t>Obras reforma aseo=40.100€
Alicatado zona pescado=32.000€</t>
        </r>
      </text>
    </comment>
    <comment ref="X849" authorId="2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150 LICENCIAS ROFESIONAL</t>
        </r>
      </text>
    </comment>
    <comment ref="AD849" authorId="0">
      <text>
        <r>
          <rPr>
            <b/>
            <sz val="9"/>
            <color indexed="81"/>
            <rFont val="Tahoma"/>
            <family val="2"/>
          </rPr>
          <t>Actualización call center polcía</t>
        </r>
      </text>
    </comment>
    <comment ref="AA850" authorId="0">
      <text>
        <r>
          <rPr>
            <b/>
            <sz val="9"/>
            <color indexed="81"/>
            <rFont val="Tahoma"/>
            <family val="2"/>
          </rPr>
          <t>Vivienda en C/Trinidad,3</t>
        </r>
      </text>
    </comment>
    <comment ref="U854" authorId="2">
      <text>
        <r>
          <rPr>
            <b/>
            <sz val="8"/>
            <color indexed="81"/>
            <rFont val="Tahoma"/>
            <family val="2"/>
          </rPr>
          <t xml:space="preserve">AIRE ACOND MERCADO coste=240.
000
</t>
        </r>
      </text>
    </comment>
    <comment ref="X855" authorId="2">
      <text>
        <r>
          <rPr>
            <b/>
            <sz val="8"/>
            <color indexed="81"/>
            <rFont val="Tahoma"/>
            <family val="2"/>
          </rPr>
          <t>PLAN PROVINCIAL AHORRO ENERGETICO</t>
        </r>
      </text>
    </comment>
    <comment ref="Z855" authorId="0">
      <text>
        <r>
          <rPr>
            <b/>
            <sz val="9"/>
            <color indexed="81"/>
            <rFont val="Tahoma"/>
            <family val="2"/>
          </rPr>
          <t>Plan Ahorro Energético</t>
        </r>
      </text>
    </comment>
    <comment ref="AD855" authorId="0">
      <text>
        <r>
          <rPr>
            <b/>
            <sz val="9"/>
            <color indexed="81"/>
            <rFont val="Tahoma"/>
            <family val="2"/>
          </rPr>
          <t>Obras sust. Iluminación y maq. Frigorificas mercado municipal</t>
        </r>
      </text>
    </comment>
    <comment ref="U856" authorId="2">
      <text>
        <r>
          <rPr>
            <b/>
            <sz val="8"/>
            <color indexed="81"/>
            <rFont val="Tahoma"/>
            <family val="2"/>
          </rPr>
          <t>Reurb. Calle Fontanella ap.mpal 2015:538,46 2016:274.211,54</t>
        </r>
      </text>
    </comment>
    <comment ref="Z856" authorId="0">
      <text>
        <r>
          <rPr>
            <b/>
            <sz val="9"/>
            <color indexed="81"/>
            <rFont val="Tahoma"/>
            <family val="2"/>
          </rPr>
          <t>C/Fontanella</t>
        </r>
      </text>
    </comment>
    <comment ref="AD856" authorId="0">
      <text>
        <r>
          <rPr>
            <b/>
            <sz val="9"/>
            <color indexed="81"/>
            <rFont val="Tahoma"/>
            <family val="2"/>
          </rPr>
          <t>Obras C/Fontanella</t>
        </r>
      </text>
    </comment>
    <comment ref="AD857" authorId="0">
      <text>
        <r>
          <rPr>
            <b/>
            <sz val="9"/>
            <color indexed="81"/>
            <rFont val="Tahoma"/>
            <family val="2"/>
          </rPr>
          <t>PLAN AHORRO ENERGETICO:177.405,31€
Diputación:150.368,74€
Ayto:27.036,57€</t>
        </r>
      </text>
    </comment>
  </commentList>
</comments>
</file>

<file path=xl/sharedStrings.xml><?xml version="1.0" encoding="utf-8"?>
<sst xmlns="http://schemas.openxmlformats.org/spreadsheetml/2006/main" count="2555" uniqueCount="954">
  <si>
    <t>Total 432</t>
  </si>
  <si>
    <t>Total 130</t>
  </si>
  <si>
    <t>Total 132</t>
  </si>
  <si>
    <t>Total 134</t>
  </si>
  <si>
    <t>Total 151</t>
  </si>
  <si>
    <t>Total 155</t>
  </si>
  <si>
    <t>Total 162</t>
  </si>
  <si>
    <t>Total 164</t>
  </si>
  <si>
    <t>Total 165</t>
  </si>
  <si>
    <t>Total 170</t>
  </si>
  <si>
    <t>Total 171</t>
  </si>
  <si>
    <t>Total 241</t>
  </si>
  <si>
    <t>Total 320</t>
  </si>
  <si>
    <t>Total 332</t>
  </si>
  <si>
    <t>Total 334</t>
  </si>
  <si>
    <t>Total 336</t>
  </si>
  <si>
    <t>Total 337</t>
  </si>
  <si>
    <t>Total 338</t>
  </si>
  <si>
    <t>Total 340</t>
  </si>
  <si>
    <t>Total 410</t>
  </si>
  <si>
    <t>Total 431</t>
  </si>
  <si>
    <t>Total 459</t>
  </si>
  <si>
    <t>Total 493</t>
  </si>
  <si>
    <t>Total 912</t>
  </si>
  <si>
    <t>Total 920</t>
  </si>
  <si>
    <t>Total 924</t>
  </si>
  <si>
    <t>Total 929</t>
  </si>
  <si>
    <t>Total 931</t>
  </si>
  <si>
    <t>DEUDA PUBLICA</t>
  </si>
  <si>
    <t>SEGURIDAD Y ORDEN PUBLICO</t>
  </si>
  <si>
    <t>PROTECCION CIVIL</t>
  </si>
  <si>
    <t>URBANISMO</t>
  </si>
  <si>
    <t>VÍAS PÚBLICAS</t>
  </si>
  <si>
    <t>RECOGIDAS, ELIMINACION, Y TRAT. RESIDUOS</t>
  </si>
  <si>
    <t>CEMENTERIO Y SERV. FUNERARIOS</t>
  </si>
  <si>
    <t>ALUMBRADO</t>
  </si>
  <si>
    <t>MEDIO AMBIENTE</t>
  </si>
  <si>
    <t>PARQUES Y JARDINES</t>
  </si>
  <si>
    <t>RESIDENCIA</t>
  </si>
  <si>
    <t>SANIDAD</t>
  </si>
  <si>
    <t>EDUCACION</t>
  </si>
  <si>
    <t>BIBLIOTECA</t>
  </si>
  <si>
    <t>CULTURA</t>
  </si>
  <si>
    <t>ARQUEOLOGIA Y PROT. PATRIMONIO HIST.</t>
  </si>
  <si>
    <t>SERVICIOS SOCIALES GENERALES</t>
  </si>
  <si>
    <t>SERVICIOS SOCIALES ESPECIFICOS</t>
  </si>
  <si>
    <t>FIESTAS</t>
  </si>
  <si>
    <t>DEPORTES</t>
  </si>
  <si>
    <t>TURISMO</t>
  </si>
  <si>
    <t>ORGANOS DE GOBIERNO</t>
  </si>
  <si>
    <t>OTRAS INFRESTRUCTURAS (OBRAS Y SERV.)</t>
  </si>
  <si>
    <t>ADMINISTRACION GENERAL</t>
  </si>
  <si>
    <t>INFORMATICA</t>
  </si>
  <si>
    <t>POLITICA ECONOMICA Y FISCAL</t>
  </si>
  <si>
    <t>AUM/DISM</t>
  </si>
  <si>
    <t>CREDITO/10</t>
  </si>
  <si>
    <t>COMPROM.</t>
  </si>
  <si>
    <t>MULTAS urbanísticas</t>
  </si>
  <si>
    <t>MULTAS tributarias</t>
  </si>
  <si>
    <t>MULTAS ordenanza de circulación</t>
  </si>
  <si>
    <t>EC.</t>
  </si>
  <si>
    <t>TOTAL GENERAL</t>
  </si>
  <si>
    <t>PREV/09</t>
  </si>
  <si>
    <t>PREV/10</t>
  </si>
  <si>
    <t>TOTAL CAP.1</t>
  </si>
  <si>
    <t>TOTAL CAP.2</t>
  </si>
  <si>
    <t>TOTAL CAP.4</t>
  </si>
  <si>
    <t>TOTAL CAP.3</t>
  </si>
  <si>
    <t>TOTAL CAP.5</t>
  </si>
  <si>
    <t>COMBUSTIBLE URBANISMO</t>
  </si>
  <si>
    <t>LOCOMOCION PERSONAL URBANISMO</t>
  </si>
  <si>
    <t>GRATIFICACIONES PERSONAL URBANISMO</t>
  </si>
  <si>
    <t>CONSERVACION MAQUINARIA URBANISMO</t>
  </si>
  <si>
    <t>CONSERVACION MAT. TRANS. URBANISMO</t>
  </si>
  <si>
    <t>GASTOS DIVERSOS URBANISMO</t>
  </si>
  <si>
    <t>RETRIB. BASICAS ADMON. GRAL. SEG.GRUP.A1</t>
  </si>
  <si>
    <t>RETRIB. BASICAS ADMON. GRAL. SEG. GRUP C1</t>
  </si>
  <si>
    <t>RETRIB. BASICAS ADMON. GRAL.SEG. GRUP. C2</t>
  </si>
  <si>
    <t>COMPLEM. DESTINO ADMON. GRAL.SEG.</t>
  </si>
  <si>
    <t>COMPLEM. ESPECIF. ADMON. GRAL. SEG.</t>
  </si>
  <si>
    <t>RET. BAS. LAB. FIJOS ADMON. GRAL.SEG.</t>
  </si>
  <si>
    <t>TRIENIOS</t>
  </si>
  <si>
    <t>CONTRIBUCIONES PLAN PENSIONES FUNCIONAR.</t>
  </si>
  <si>
    <t>PUBLICACION DIARIOS OFICIALES</t>
  </si>
  <si>
    <t>COMPLEM. DESTINO POLICIA</t>
  </si>
  <si>
    <t>OTROS GASTOS DIVERSOS</t>
  </si>
  <si>
    <t>RENTA GARANTIZADA CIUDADANIA</t>
  </si>
  <si>
    <t>PUBLICIDAD UPC-AMICS</t>
  </si>
  <si>
    <t>PROGRAMAS FAMILIA</t>
  </si>
  <si>
    <t>ARRENDAMIENTO EDIFICIOS(CENTROS BARRIO)</t>
  </si>
  <si>
    <t>CONSERV.EDIFICIOS MERCADO</t>
  </si>
  <si>
    <t>COMPLEM. DESTINO URBANISMO</t>
  </si>
  <si>
    <t>COMPLEM. ESPECIF. URBANISMO</t>
  </si>
  <si>
    <t>RET. BAS. LAB. FIJOS URBANISMO</t>
  </si>
  <si>
    <t>CONSERV.EDIFICIOS SEDE ASOC.</t>
  </si>
  <si>
    <t>OTRAS REM. LAB. FIJOS URBANISMO</t>
  </si>
  <si>
    <t>COMPLEM. DESTINO CEMENTERIO</t>
  </si>
  <si>
    <t>COMPLEM. ESPECIF. CEMENTERIO</t>
  </si>
  <si>
    <t>RETRIB. BASICAS ALUMBRADO GRUP. C2</t>
  </si>
  <si>
    <t>COMPLEM. DESTINO ALUMBRADO</t>
  </si>
  <si>
    <t>COMPLEM. ESPECIF. ALUMBRADO</t>
  </si>
  <si>
    <t>RETRIB. BASICAS M.AMBIENTE GRUP.A1</t>
  </si>
  <si>
    <t>RETRIB. BASICAS M. AMBIENTE GRUP. C2</t>
  </si>
  <si>
    <t>COMPLEM. DESTINO M. AMBIENTE</t>
  </si>
  <si>
    <t>COMPLEM. ESPECIF. M. AMBIENTE</t>
  </si>
  <si>
    <t>OTRAS REMUN.LAB.FIJOS P.JARDINES</t>
  </si>
  <si>
    <t>RETRIB. BASICAS S.SOCIALES GEN. GRUP.A1</t>
  </si>
  <si>
    <t>RETRIB. BASICAS SERV. SOCIALES GEN. GRUP.A2</t>
  </si>
  <si>
    <t>RETRIB. BASICAS S.SOCIALES GEN. GRUP. C2</t>
  </si>
  <si>
    <t>COMPLEM. DESTINO S. SOCIALES GEN.</t>
  </si>
  <si>
    <t>COMPLEM. ESPECIF. S.SOCIALES GEN.</t>
  </si>
  <si>
    <t>PARTICIPAC.TRIBUTOS ESTADO</t>
  </si>
  <si>
    <t>TRIBUTOS COMUNIDAD AUTONOMA</t>
  </si>
  <si>
    <t>RETRIB. BASICAS S.SOCIALES ESP. GRUP.A1</t>
  </si>
  <si>
    <t>RETRIB. BASICAS SERV. SOCIALES ESP. GRUP.A2</t>
  </si>
  <si>
    <t>COMPLEM. DESTINO S. SOCIALES ESP.</t>
  </si>
  <si>
    <t>COMPLEM. ESPECIF. S.SOCIALES ESP.</t>
  </si>
  <si>
    <t>OTRAS REMUN.LAB.FIJOS RESIDENCIA</t>
  </si>
  <si>
    <t xml:space="preserve">COMPLEM. DESTINO C.SOCIAL </t>
  </si>
  <si>
    <t xml:space="preserve">COMPLEM. ESPECIF. C.SOCIAL </t>
  </si>
  <si>
    <t>OTRAS REMUN.LAB.FIJOS EDUCACION</t>
  </si>
  <si>
    <t>RETRIB. BASICAS BIBLIOTECA GRUP. C2</t>
  </si>
  <si>
    <t>COMPLEM. DESTINO BIBLIOTECA</t>
  </si>
  <si>
    <t>COMPLEM. ESPECIF. BIBLIOTECA</t>
  </si>
  <si>
    <t>RETRIB. BASICAS CULTURA GRUP. C2</t>
  </si>
  <si>
    <t>COMPLEM. DESTINO CULTURA</t>
  </si>
  <si>
    <t>COMPLEM. ESPECIF. CULTURA</t>
  </si>
  <si>
    <t>OTRAS REMUN.LAB.FIJOS CULTURA</t>
  </si>
  <si>
    <t>RETRIBUCIONES BASICAS LAB. FIJO CULTURA</t>
  </si>
  <si>
    <t>RETRIB. BASICAS ARQ. Y PATRIMONIO GRUP.A1</t>
  </si>
  <si>
    <t>RETRIB. BASICAS ARQ. Y PAT. GRUP. C2</t>
  </si>
  <si>
    <t>COMPLEM. DESTINO ARQ. Y PAT.</t>
  </si>
  <si>
    <t>COMPLEM. ESPECIF. ARQ. Y PAT.</t>
  </si>
  <si>
    <t>OTRAS REMUN.LAB.FIJOS ARQ. Y PAT.</t>
  </si>
  <si>
    <t>RETRIB. BASICAS S.SOCIALES ESP. GRUP. C1</t>
  </si>
  <si>
    <t>RETRIB. BASICAS RESIDENCIA GRUP.A2</t>
  </si>
  <si>
    <t>RETRIB. BASICAS RESIDENCIA GRUP. C2</t>
  </si>
  <si>
    <t>COMPLEM. DESTINO RESIDENCIA ESP.</t>
  </si>
  <si>
    <t>COMPLEM. ESPECIF. RESIDENCIA</t>
  </si>
  <si>
    <t>RETRIB. BASICAS EDUCACION GRUP. C2</t>
  </si>
  <si>
    <t>COMPLEM. DESTINO EDUCACION</t>
  </si>
  <si>
    <t>COMPLEM. ESPECIF. EDUCACION</t>
  </si>
  <si>
    <t>COMPLEM. DESTINO JUVENTUD</t>
  </si>
  <si>
    <t>COMPLEM. ESPECIF. JUVENTUD</t>
  </si>
  <si>
    <t>COMPLEM. DESTINO FIESTAS</t>
  </si>
  <si>
    <t>RETRIB. BASICAS DEPORTES GRUP.A1</t>
  </si>
  <si>
    <t>RETRIB. BASICAS DEPORTES GRUP C1</t>
  </si>
  <si>
    <t>RETRIB. BASICAS DEPORTES GRUP. C2</t>
  </si>
  <si>
    <t>COMPLEM. DESTINO DEPORTES</t>
  </si>
  <si>
    <t>COMPLEM. ESPECIF. DEPORTES</t>
  </si>
  <si>
    <t>RETRIB. BASICAS P. Y JARDINES GRUP.A2</t>
  </si>
  <si>
    <t>RETRIB. BASICAS P. Y JARDINES GRUP. C2</t>
  </si>
  <si>
    <t>RETRIB. BASICAS P. Y JARDINES GRUP. E</t>
  </si>
  <si>
    <t>COMPLEM. DESTINO P. Y JARDINES</t>
  </si>
  <si>
    <t>COMPLEM. ESPECIF. P. Y JARDINES</t>
  </si>
  <si>
    <t>RETRIB. BASICAS URBANISMO.GRUP.A1</t>
  </si>
  <si>
    <t>RETRIB. BASICAS URBANISMO.GRUP.A2</t>
  </si>
  <si>
    <t>RETRIB. BASICAS URBANISMO. GRUP C1</t>
  </si>
  <si>
    <t>RETRIB. BASICAS URBANISMO.GRUP. C2</t>
  </si>
  <si>
    <t>RETRIB. BASICAS CULTURA GRUP. C1</t>
  </si>
  <si>
    <t>OTRAS REMUN.LAB.FIJOS DEPORTES</t>
  </si>
  <si>
    <t>RETRIB. BASICAS MERCADO GRUP. C2</t>
  </si>
  <si>
    <t>COMPLEM. DESTINO MERCADO</t>
  </si>
  <si>
    <t>COMPLEM. ESPECIF. MERCADO</t>
  </si>
  <si>
    <t>RETRIB.BAS.LAB.TEMPORAL OBRAS Y SERV.</t>
  </si>
  <si>
    <t>OTRAS REM.LAB.TEMPORAL OBRAS Y SERV.</t>
  </si>
  <si>
    <t>GRATIFICACION PERS.OBRAS Y SERV.</t>
  </si>
  <si>
    <t>ARREND.MAQUINARIA OBRAS Y SERV.</t>
  </si>
  <si>
    <t>CONSERV.EDIFICIOS OBRAS Y SERV.</t>
  </si>
  <si>
    <t>CONSERV.MAQUINARIA OBRAS Y SERV.</t>
  </si>
  <si>
    <t>CONSERV.MATERIAL TRANSP.OBRAS Y SERV.</t>
  </si>
  <si>
    <t>CONSERV.OTRO INMOV. OBRAS Y SERV.</t>
  </si>
  <si>
    <t>MATERIAL OFICINA OBRAS Y SERV.</t>
  </si>
  <si>
    <t>PUBLICACIONES OBRAS Y SERV.</t>
  </si>
  <si>
    <t>COMBUSTIBLES OBRAS Y SERV.</t>
  </si>
  <si>
    <t>OTROS SUMINISTROS OBRAS Y SERV.</t>
  </si>
  <si>
    <t>TRANSPORTES OBRAS Y SERV.</t>
  </si>
  <si>
    <t>DIETAS PERSONAL OBRAS Y SERV.</t>
  </si>
  <si>
    <t>LOCOMOCION PERS.OBRAS Y SERV.</t>
  </si>
  <si>
    <t>RETRIB. BASICAS TURISMO GRUP.A2</t>
  </si>
  <si>
    <t>RETRIB. BASICAS TURISMO GRUP C1</t>
  </si>
  <si>
    <t>RETRIB. BASICAS TURISMO GRUP. C2</t>
  </si>
  <si>
    <t>COMPLEM. DESTINO TURISMO</t>
  </si>
  <si>
    <t>COMPLEM. ESPECIF. TURISMO</t>
  </si>
  <si>
    <t>RETRIB. BASICAS OBRAS Y SERV. GRUP. C2</t>
  </si>
  <si>
    <t>COMPLEM. DESTINO OBRAS Y SERV.</t>
  </si>
  <si>
    <t>COMPLEM. ESPECIF. OBRAS Y SERV.</t>
  </si>
  <si>
    <t>RETR.BASICAS LAB.FIJO OBRAS Y SERV.</t>
  </si>
  <si>
    <t>HORAS EXTRAS OBRAS Y SERV.</t>
  </si>
  <si>
    <t>OTRAS REMUN.LAB.FIJOS OBRAS Y SERV.</t>
  </si>
  <si>
    <t>RETRIB. BASICAS EVENTUAL GABINETES</t>
  </si>
  <si>
    <t>RETRIB. BASICAS ADM. GRAL. GRUP.A1</t>
  </si>
  <si>
    <t>RETRIB. BASICAS ADM. GRAL. GRUP.A2</t>
  </si>
  <si>
    <t>RETRIB. BASICAS ADM. GRAL. GRUP C1</t>
  </si>
  <si>
    <t>RETRIB. BASICAS ADM. GRAL. GRUP. C2</t>
  </si>
  <si>
    <t>COMPLEM. DESTINO ADM. GRAL.</t>
  </si>
  <si>
    <t>COMPLEM. ESPECIF. ADM. GRAL.</t>
  </si>
  <si>
    <t>RETRIB. BASICAS INFORMATICA GRUP.A1</t>
  </si>
  <si>
    <t>COMPLEM. DESTINO INFORMATICA</t>
  </si>
  <si>
    <t>COMPLEM. ESPECIF. INFORMATICA</t>
  </si>
  <si>
    <t>RETRIB. BASICAS INFORMATICA GRUP. C1</t>
  </si>
  <si>
    <t>OTRAS REMUN.LAB.FIJOS ADM. GRAL.</t>
  </si>
  <si>
    <t>OTRAS REMUN.LAB.FIJOS INFORMATICA</t>
  </si>
  <si>
    <t>COMPLEM. DESTINO PART. CIUDADANA</t>
  </si>
  <si>
    <t>COMPLEM. ESPECIF.PART.CIUDADANA</t>
  </si>
  <si>
    <t>RETRIB. BASICAS PART.CIUD. GRUP. C2</t>
  </si>
  <si>
    <t>COMPLEM. DESTINO RIESGOS LAB.</t>
  </si>
  <si>
    <t>COMPLEM. ESPECIF.RIESGOS LAB.</t>
  </si>
  <si>
    <t>RETRIB. BASICAS RIESGOS LAB. GRUP. A2</t>
  </si>
  <si>
    <t>COMPLEM. DESTINO ARCHIVO</t>
  </si>
  <si>
    <t>COMPLEM. ESPECIF.ARCHIVO</t>
  </si>
  <si>
    <t>RETRIB. BASICAS ARCHIVO GRUP.A1</t>
  </si>
  <si>
    <t>RETRIB. BASICAS ARCHIVO GRUP. C2</t>
  </si>
  <si>
    <t>RETRIB. BASICAS NORM. LING.GRUP.A1</t>
  </si>
  <si>
    <t>COMPLEM. DESTINO NORM.LING.</t>
  </si>
  <si>
    <t>COMPLEM. ESPECIF. NORM. LING.</t>
  </si>
  <si>
    <t>RETRIB. BASICAS SERV.EC. GRUP.A1</t>
  </si>
  <si>
    <t>RETRIB. BASICAS SERV. EC. GRUP.A2</t>
  </si>
  <si>
    <t>RETRIB. BASICAS SERV.EC. GRUP C1</t>
  </si>
  <si>
    <t>RETRIB. BASICAS SERV.EC. GRUP. C2</t>
  </si>
  <si>
    <t>COMPLEM. DESTINO SERV.EC.</t>
  </si>
  <si>
    <t>COMPLEM. ESPECIF. SERV.EC.</t>
  </si>
  <si>
    <t>OTRAS REMUN.LAB.FIJOS SERV.EC.</t>
  </si>
  <si>
    <t>COMPENSACION TELEFONICA S.A.</t>
  </si>
  <si>
    <t>INTERESES PRESTAMOS A LARGO PLAZO</t>
  </si>
  <si>
    <t>INTERESES PRESTAMOS CORTO PLAZO</t>
  </si>
  <si>
    <t>AMORTIZ.PTMOS. MEDIO Y LARGO PLZ.</t>
  </si>
  <si>
    <t>ARRENDAMIENTO MAQ.ORG. GOBIERNO</t>
  </si>
  <si>
    <t>CONSERV. MAT. TRANSPORTE</t>
  </si>
  <si>
    <t>MATERIAL OFICINA ORGANOS GOBIERNO</t>
  </si>
  <si>
    <t>PRENSA ETC. ORGANOS DE GOBIERNO</t>
  </si>
  <si>
    <t>COMBUSTIBLES ORGANOS GOBIERNO</t>
  </si>
  <si>
    <t>OTROS SUMINISTROS</t>
  </si>
  <si>
    <t>LOCOMOCION ORGANOS DE GOBIERNO</t>
  </si>
  <si>
    <t>TRANSFERENC. A INST. SIN ANIMO DE LUCRO</t>
  </si>
  <si>
    <t>APORTACION A FEDER. MUNIC. Y PROVIN.</t>
  </si>
  <si>
    <t>RET. BASIC. LAB. FIJO ADMON. GRAL.</t>
  </si>
  <si>
    <t>PRODUCTIVIDAD GENERAL</t>
  </si>
  <si>
    <t>PRODUCTIVIDAD FIDELIDAD</t>
  </si>
  <si>
    <t>SEGURIDAD SOCIAL ADMON. GENERAL</t>
  </si>
  <si>
    <t>INDEM. JUBILACION ANT. P. LABORAL</t>
  </si>
  <si>
    <t>GTOS. FORMACION PERSONAL</t>
  </si>
  <si>
    <t>ARRENDAMIENTOS EDIFICIOS</t>
  </si>
  <si>
    <t>ARRENDAMIENTO MAQUINARIA, INSTAL.,</t>
  </si>
  <si>
    <t>CONSERV. MAQUINARIA ADMON. GRAL.</t>
  </si>
  <si>
    <t>CONSERVACION MTAL. TRANSPORTE</t>
  </si>
  <si>
    <t>MATERIAL OFICINA ADMON. GENERAL</t>
  </si>
  <si>
    <t>PUBLICACIONES ADMON. GENERAL</t>
  </si>
  <si>
    <t>SUMINISTRO AGUA</t>
  </si>
  <si>
    <t>COMBUSTIBLES ADMON. GENERAL</t>
  </si>
  <si>
    <t>VESTUARIO ADMON. GENERAL</t>
  </si>
  <si>
    <t>MATERIAL LIMPIEZA AYUNTAMIENTO</t>
  </si>
  <si>
    <t>TELEFONO ADMON. GENERAL</t>
  </si>
  <si>
    <t>CORREO ADMON. GENERAL</t>
  </si>
  <si>
    <t>PRIMAS SEGUROS ADMON. GENERAL</t>
  </si>
  <si>
    <t>GASTOS JURIDICOS</t>
  </si>
  <si>
    <t>GASTOS DIVERSOS</t>
  </si>
  <si>
    <t>ESTUDIOS TECNICOS</t>
  </si>
  <si>
    <t>DIETAS PERSONAL ADMON. GENERAL</t>
  </si>
  <si>
    <t>LOCOMOCION PERSONAL ADMON. GENERAL</t>
  </si>
  <si>
    <t>TRANS.CTES. LA XARA</t>
  </si>
  <si>
    <t>TRANSF. CORRIENTES JESUS POBRE</t>
  </si>
  <si>
    <t>TRANSF. CAPITAL LA XARA</t>
  </si>
  <si>
    <t>TRANSF. CAPITAL JESUS POBRE</t>
  </si>
  <si>
    <t>OTRAS REM. LAB. FIJOS ADMON. CENTRAL</t>
  </si>
  <si>
    <t>RETRIB. BASICAS LAB. TEMPORAL ADMON. CEN</t>
  </si>
  <si>
    <t>OTRAS RETRIB. LAB. TEMPORAL AD.CTRAL.</t>
  </si>
  <si>
    <t>GRATIFICACIONES ADMON. CENTRAL</t>
  </si>
  <si>
    <t>ARREND. MAQUINARIA</t>
  </si>
  <si>
    <t>ARRENDAMIENTO MATERIAL TRANSPORTE</t>
  </si>
  <si>
    <t>CONSERV. MAQUINARIA ADMON. CENTRAL</t>
  </si>
  <si>
    <t>MATERIAL DE OFICINA</t>
  </si>
  <si>
    <t>PUBLICACIONES ADMON. CENTRAL</t>
  </si>
  <si>
    <t>COMBUSTIBLE ADMON. CENTRAL</t>
  </si>
  <si>
    <t>OTROS SUMINISTROS (PLACAS)</t>
  </si>
  <si>
    <t>GASTOS DIVERSOS ADMON. CENTRAL</t>
  </si>
  <si>
    <t>DIETAS PERSONAL ADMON. CENTRAL</t>
  </si>
  <si>
    <t>LOCOMOCION PERSONAL ADMON. CENTRAL</t>
  </si>
  <si>
    <t>ARREND. MAQUINARIA ARCHIVO</t>
  </si>
  <si>
    <t>CONSERVACION MAQUINARIA ARCHIVO</t>
  </si>
  <si>
    <t>MATERIAL OFICINA</t>
  </si>
  <si>
    <t>PRENSA, REVISTAS, LIBROS, ETC.</t>
  </si>
  <si>
    <t>PUBLICIDAD Y PROPAGANDA</t>
  </si>
  <si>
    <t>GASTOS DIVERSOS ARCHIVO</t>
  </si>
  <si>
    <t>DIETAS PERSONAL ARCHIVO</t>
  </si>
  <si>
    <t>LOCOMOCION ARCHIVO</t>
  </si>
  <si>
    <t>TRANSF. CTES. MANCOMUNIDADES</t>
  </si>
  <si>
    <t>RETR. BASICAL FIJOS INFORMATICA</t>
  </si>
  <si>
    <t>ARRENDAMIENTO EQUIPOS INFORMATICOS</t>
  </si>
  <si>
    <t>CONSERVACION EQUIPOS INFORMATICOS</t>
  </si>
  <si>
    <t>MATERIAL INFORMATICO NO INVENTARIABLE</t>
  </si>
  <si>
    <t>COMBUSTIBLE INFORMATICA</t>
  </si>
  <si>
    <t>GASTOS DIVERSOS INFORMATICA</t>
  </si>
  <si>
    <t>ESTUDIOS TECNICOS INFORMATICA</t>
  </si>
  <si>
    <t>DIETAS PERSONAL INFORMATICA</t>
  </si>
  <si>
    <t>LOCOMOCION PERSONAL INFORMATICA</t>
  </si>
  <si>
    <t>PRODUCTIVIDAD PERSONAL RIESGOS LAB.</t>
  </si>
  <si>
    <t>CURSOS Y CONFERENCIAS</t>
  </si>
  <si>
    <t>GASTOS DIVERSOS RIESGOS LABORALES</t>
  </si>
  <si>
    <t>GRATIFICACIONES POLICIA</t>
  </si>
  <si>
    <t>ARRENDAMIENTO MAQUINARIA POLICIA</t>
  </si>
  <si>
    <t>CONSERVACION MAQUINARIA POLICIA</t>
  </si>
  <si>
    <t>CONSERVACION MAT.TRANSPORTE POLIC.</t>
  </si>
  <si>
    <t>MATERIAL OFICINA ORDINARIO POLICIA</t>
  </si>
  <si>
    <t>PUBLICACIONES POLICIA</t>
  </si>
  <si>
    <t>COMBUSTIBLES POLICIA</t>
  </si>
  <si>
    <t>VESTUARIO POLICIA</t>
  </si>
  <si>
    <t>ARRASTRE GRUA</t>
  </si>
  <si>
    <t>DIETAS POLICIA</t>
  </si>
  <si>
    <t>LOCOMOCION POLICIA</t>
  </si>
  <si>
    <t>CONSERV.MAQ. PROT.CIVIL</t>
  </si>
  <si>
    <t>PUBLICACIONES PROTECCION CIVIL</t>
  </si>
  <si>
    <t>COMBUSTIBLES PROTECCION CIVIL</t>
  </si>
  <si>
    <t>VESTUARIO PROTECCION CIVIL</t>
  </si>
  <si>
    <t>OTROS SUMINISTROS PROTECCION CIVIL</t>
  </si>
  <si>
    <t>PRIMAS SEGUROS PROTECCION CIVIL</t>
  </si>
  <si>
    <t>GASTOS DIVERSOS PROTECCION CIVIL</t>
  </si>
  <si>
    <t>RETRIB. BASICAS LABORAL FIJO ASIST.SOCI.</t>
  </si>
  <si>
    <t>OTRAS REMUN. LABORAL FIJO ASIST. SOCIAL</t>
  </si>
  <si>
    <t>ARRENDAMIENTO MAQUINARIA SERV. SOCIALES</t>
  </si>
  <si>
    <t>CONSERVACION EDIFICIOS</t>
  </si>
  <si>
    <t>CONSERV. MAQUINARIA</t>
  </si>
  <si>
    <t>CONSERVACION MATERIAL TRANSPORTE</t>
  </si>
  <si>
    <t>MAT.OFICINA ASISTENTAS SOCIALES</t>
  </si>
  <si>
    <t>PUBLICACIONES ASISTENTAS SOCIALES</t>
  </si>
  <si>
    <t>COMBUSTIBLE SERVICIOS SOCIALES</t>
  </si>
  <si>
    <t>PRIMAS SEGUROS ALUMNOS TAPIS</t>
  </si>
  <si>
    <t>PUBLICIDAD SERVICIOS SOCIALES</t>
  </si>
  <si>
    <t>TALLERES ASISTENCIA SOCIAL</t>
  </si>
  <si>
    <t>GASTOS DIVERSOS SERV. SOCIALES</t>
  </si>
  <si>
    <t>DIETAS PERSONAL ASIST.SOCIALES</t>
  </si>
  <si>
    <t>LOCOMOCION ASISTENTAS SOCIALES</t>
  </si>
  <si>
    <t>CONVENIO PATRONATO TURISMO</t>
  </si>
  <si>
    <t>ATENCIONES BENEFICAS Y ASISTENC.</t>
  </si>
  <si>
    <t>MATERIAL OFICINA UPC</t>
  </si>
  <si>
    <t>PROGRAMA PREVENCION DROGODEPENDENCIAS</t>
  </si>
  <si>
    <t>APORTACION FUNDACION AEPA CENTRO D.</t>
  </si>
  <si>
    <t>APORTACION FUNDACION AEPA PROG.UPC</t>
  </si>
  <si>
    <t>TRANSFERENCIAS CORRIENTES CREAMA</t>
  </si>
  <si>
    <t>TRANSFERENCIAS CAPITAL CREAMA</t>
  </si>
  <si>
    <t>RETRI. BASICAS FUNCI. RESIDENCIA</t>
  </si>
  <si>
    <t>RET.BAS.LAB.FIJO RESIDENCIA</t>
  </si>
  <si>
    <t>RETRIB.BAS.LAB.TEMPORAL RESIDENCIA</t>
  </si>
  <si>
    <t>OTRAS REM.LAB.TEMPORAL RESIDENCIA</t>
  </si>
  <si>
    <t>ARRENDAMIENTO MAQUINARIA</t>
  </si>
  <si>
    <t>CONSERV.EDIFICIOS RESIDENCIA</t>
  </si>
  <si>
    <t>CONSERV.MAQUINARIA RESIDENCIA</t>
  </si>
  <si>
    <t>CONSERV. MATERIAL TRANSPORTE RESIDENCIA</t>
  </si>
  <si>
    <t>MATERIAL OFICINA RESIDENCIA</t>
  </si>
  <si>
    <t>PUBLICACIONES RESIDENCIA</t>
  </si>
  <si>
    <t>COMBUSTIBLE RESIDENCIA</t>
  </si>
  <si>
    <t>VESTUARIO RESIDENCIA</t>
  </si>
  <si>
    <t>PRODUCTOS ALIMENTICIOS RESIDENCIA</t>
  </si>
  <si>
    <t>PRODUCTOS FARMACEUTICOS RESIDENCIA</t>
  </si>
  <si>
    <t>PRODUCTOS LIMPIEZA RESIDENCIA</t>
  </si>
  <si>
    <t>DIETAS PERSONAL RESIDENCIA</t>
  </si>
  <si>
    <t>GASTOS LOCOMOCION RESIDENCIA</t>
  </si>
  <si>
    <t>CURSOS Y CONFERENCIAS SANIDAD</t>
  </si>
  <si>
    <t>TRAB. REALIZADOS OTRAS EMPRESAS ASEO</t>
  </si>
  <si>
    <t>RETR.BASICAS LAB.FIJO COLEGIOS</t>
  </si>
  <si>
    <t>RETRIB.BASIC.LAB.TEMPORAL COLEGIOS</t>
  </si>
  <si>
    <t>OTRAS REM.LAB.TEMPORAL COLEGIOS</t>
  </si>
  <si>
    <t>GRATIFICAC.PERSONAL COLEGIOS</t>
  </si>
  <si>
    <t>ARRENDAMIENTO MAQUINARIA EDUCACION</t>
  </si>
  <si>
    <t>CONSERV. MAQUINARIA EDUCACION</t>
  </si>
  <si>
    <t>CONSERV.MAT.TRANSP.COLEGIOS</t>
  </si>
  <si>
    <t>IMPRESOS EDUCACION</t>
  </si>
  <si>
    <t>COMBUSTIBLES COLEGIOS</t>
  </si>
  <si>
    <t>VESTUARIO EDUCACION</t>
  </si>
  <si>
    <t>PROTOCOLO EDUCACION</t>
  </si>
  <si>
    <t>PUBLICIDAD EDUCACION</t>
  </si>
  <si>
    <t>CAMPAÑAS EDUCACION</t>
  </si>
  <si>
    <t>LIMPIEZA Y ASEO EDUCACION</t>
  </si>
  <si>
    <t>DIETAS PERSONAL EDUCACION</t>
  </si>
  <si>
    <t>LOCOMOCION PERSONAL EDUCACION</t>
  </si>
  <si>
    <t>ALQUILER MATERIAL TRANSPORTE</t>
  </si>
  <si>
    <t>MATERIAL OFICINA URBANISMO</t>
  </si>
  <si>
    <t>VESTUARIO</t>
  </si>
  <si>
    <t>OTROS SUMINISTROS URBANISMO</t>
  </si>
  <si>
    <t>DIETAS PERSONAL URBANISMO</t>
  </si>
  <si>
    <t>CONSERVACION MAQUINARIA</t>
  </si>
  <si>
    <t>CREDITO/11</t>
  </si>
  <si>
    <t>DISPONIBLE</t>
  </si>
  <si>
    <t>CREDITO/ 09</t>
  </si>
  <si>
    <t>PUBLICACIONES</t>
  </si>
  <si>
    <t>DIETAS PERSONAL</t>
  </si>
  <si>
    <t>LOCOMOCION PERSONAL</t>
  </si>
  <si>
    <t>PRODUCTIVIDAD</t>
  </si>
  <si>
    <t>GRATIFICACIONES</t>
  </si>
  <si>
    <t>CONSERVACION ALUMBRADO</t>
  </si>
  <si>
    <t>SUMINISTRO ENERGIA ELECTRICA</t>
  </si>
  <si>
    <t>COMBUSTIBLES</t>
  </si>
  <si>
    <t>RETRIB. BASICAS LAB. FIJO JARDINES</t>
  </si>
  <si>
    <t>GRATIFICACIONES PERSONAL PARQUES Y JARD.</t>
  </si>
  <si>
    <t>ARRENDAMIENTO MAQUINARIA PARQUES Y JARD.</t>
  </si>
  <si>
    <t>ARRENDAMIENTO MATERIAL TRANSPORTE PARQUE</t>
  </si>
  <si>
    <t>CONSERVACION JARDINES</t>
  </si>
  <si>
    <t>CONSERVACION MAQUINARIA PARQUES</t>
  </si>
  <si>
    <t>COMBUSTIBLES PARQUES Y JARDINES</t>
  </si>
  <si>
    <t>VESTUARIO PARQUES Y JARDINES</t>
  </si>
  <si>
    <t>GASTOS DIVERSOS PARQUES Y JARDINES</t>
  </si>
  <si>
    <t>LOCOMOCION PARQUES Y JARDINES</t>
  </si>
  <si>
    <t>DIETAS</t>
  </si>
  <si>
    <t>LOCOMOCION</t>
  </si>
  <si>
    <t>CONTRATO LIMPIEZA PLAYAS</t>
  </si>
  <si>
    <t>CONTRATOS RECOGIDA BASURAS</t>
  </si>
  <si>
    <t>RECOGIDA VERDE</t>
  </si>
  <si>
    <t>CONSORCIO RES. SOL. ZONA XV</t>
  </si>
  <si>
    <t>SUBVENCIONES A.M.P.A.S.</t>
  </si>
  <si>
    <t>ARRENDAMIENTO MAT. TRANSPORTE</t>
  </si>
  <si>
    <t>RETR.BASICAS LAB.FIJO CEMENTERIO</t>
  </si>
  <si>
    <t>OTRAS REMUN.LAB.FIJOS CEMENTERIO</t>
  </si>
  <si>
    <t>GRATIFICACIONES PERSONAL CEMENTERIO</t>
  </si>
  <si>
    <t>CONSERV. EDIFICIO CEMENTERIO</t>
  </si>
  <si>
    <t>CONSERV.MAQUINARIA CEMENTERIO</t>
  </si>
  <si>
    <t>COMBUSTIBLES CEMENTERIO</t>
  </si>
  <si>
    <t>OTROS SUMINISTROS CEMENTERIO</t>
  </si>
  <si>
    <t>ACTIVIDADES OMIC</t>
  </si>
  <si>
    <t>CONSERV. ARBOLES, ARBOLEDA INT. LOCAL</t>
  </si>
  <si>
    <t>CONSORCIO BOMBEROS</t>
  </si>
  <si>
    <t>GRATIF.CULTURA</t>
  </si>
  <si>
    <t>CONSERV. MAQUINARIA CULTURA</t>
  </si>
  <si>
    <t>MTAL. OFICINA CULTURA</t>
  </si>
  <si>
    <t>CONVENIO CLUB NAUTICO DENIA</t>
  </si>
  <si>
    <t>PRENSA, PUBLICACIONES CULTURA</t>
  </si>
  <si>
    <t>COMBUSTIBLE</t>
  </si>
  <si>
    <t>TRANSPORTES</t>
  </si>
  <si>
    <t>PROTOCOLO CULTURA</t>
  </si>
  <si>
    <t>PUBLICIDAD Y PROPAGANDA CULTURA</t>
  </si>
  <si>
    <t>ACTIVIDADES CULTURALES</t>
  </si>
  <si>
    <t>DIETAS PERSONAL CULTURA</t>
  </si>
  <si>
    <t>LOCOMOCION PERSONAL CULTURA</t>
  </si>
  <si>
    <t>APORTACION MANCOMUNIDAD CULTURAL</t>
  </si>
  <si>
    <t>PREMIOS CULTURA</t>
  </si>
  <si>
    <t>BANDA MUSICA</t>
  </si>
  <si>
    <t>OTRAS TRANSFERECIAS CULTURA</t>
  </si>
  <si>
    <t>RETRIB.BASIC.PERS.FIJO POLIDEPOR.</t>
  </si>
  <si>
    <t>RET. BAS. PERSONAL TEMPORAL DEPORTES</t>
  </si>
  <si>
    <t>OTRAS RET. LABORAL TEMPORAL DEPORTES</t>
  </si>
  <si>
    <t>GRATIFICACION PERSONAL DEPORTES</t>
  </si>
  <si>
    <t>CONSERVACION EDIFICIOS POLIDEPORTIVO</t>
  </si>
  <si>
    <t>CONSERVACION MAQUINARIA POLID.</t>
  </si>
  <si>
    <t>MATERIAL OFICINA POLIDEPORTIVO</t>
  </si>
  <si>
    <t>PUBLICACIONES DEPORTES</t>
  </si>
  <si>
    <t>SUMINISTRO AGUA POLIDEPORTIVO</t>
  </si>
  <si>
    <t>COMBUSTIBLES POLIDEPORTIVO</t>
  </si>
  <si>
    <t>VESTUARIO DEPORTES</t>
  </si>
  <si>
    <t>PRODUCTOS LIMPIEZA POLIDEPORTIVO</t>
  </si>
  <si>
    <t>PUBLICIDAD DEPORTES</t>
  </si>
  <si>
    <t>PLAN ACTIVIDADES DEPORTIVAS</t>
  </si>
  <si>
    <t>TRABAJOS REAL. OTRAS EMPRESAS DEPORTES</t>
  </si>
  <si>
    <t>DIETAS PERSONAL DEPORTES</t>
  </si>
  <si>
    <t>LOCOMOCION PERSONAL DEPORTES</t>
  </si>
  <si>
    <t>CONSORCIO DEPORTES MARINA ALTA</t>
  </si>
  <si>
    <t>PREMIOS, TROFEOS, ETC. DEPORTES</t>
  </si>
  <si>
    <t>OTRAS TRANSFERENCIAS DEPORTES</t>
  </si>
  <si>
    <t>CONVENIOS DEPORTES</t>
  </si>
  <si>
    <t>INDEMNIZACION SEGUROS NO VIDA</t>
  </si>
  <si>
    <t>REINTEGROS AVALES</t>
  </si>
  <si>
    <t>GRATIFICACIONES PERSONAL PATRIMONIO</t>
  </si>
  <si>
    <t>ARRENDAMIENTO MAQUINARIA PATRIMONIO</t>
  </si>
  <si>
    <t>CONSERV. EDIFICIOS PATRIMONIO</t>
  </si>
  <si>
    <t>CONSERVACION MAQUINARIA PATRIMONIO</t>
  </si>
  <si>
    <t>CONSERV. MOBILIARIO PATRIMONIO</t>
  </si>
  <si>
    <t>MATERIAL OFICINA PATRIMONIO</t>
  </si>
  <si>
    <t>TRANSPORTE PATRIMONIO</t>
  </si>
  <si>
    <t>PUBLICIDAD Y PROPAGANDA PATRIMONIO</t>
  </si>
  <si>
    <t>DIETAS PERSONAL PATRIMONIO</t>
  </si>
  <si>
    <t>LOCOMOCION PERSONAL PATRIMONIO</t>
  </si>
  <si>
    <t>CONSERVACION MAQUINARIA BIBLIOTECA</t>
  </si>
  <si>
    <t>MTAL. OFICINA BIBLIOTECA</t>
  </si>
  <si>
    <t>PRENSA, PUBLICACIONES BIBLIOTECA</t>
  </si>
  <si>
    <t>ACTIVIDADES BIBLIOTECA</t>
  </si>
  <si>
    <t>GASTOS DIVERSOS BIBLIOTECA</t>
  </si>
  <si>
    <t>DIETAS BIBLIOTECA</t>
  </si>
  <si>
    <t>LOCOMOCION BIBLIOTECA</t>
  </si>
  <si>
    <t>TRANSF. CAP. G. VALENCIANA</t>
  </si>
  <si>
    <t>TRANSF. CAP. DIPUTACION</t>
  </si>
  <si>
    <t>TOTAL CAP.7</t>
  </si>
  <si>
    <t>TOTAL CAP.9</t>
  </si>
  <si>
    <t>INV.REP.EDIFICIOS</t>
  </si>
  <si>
    <t>ARRENDAMIENTO INSTALACIONES</t>
  </si>
  <si>
    <t>CONVENIO JUNTA LOCAL FALLERA</t>
  </si>
  <si>
    <t>SUBVENCIONES FESTERAS</t>
  </si>
  <si>
    <t>CONVENIO AMMIC</t>
  </si>
  <si>
    <t>OTROS SUMINISTROS (ROTULACION CALLES)</t>
  </si>
  <si>
    <t>CAMPAÑAS NORMALIZACION LINGUISTICA</t>
  </si>
  <si>
    <t>GASTOS LOCOMOCION PERSONAL NORM. LINGUIS</t>
  </si>
  <si>
    <t>GRATIFICACIONES PERSONAL JUVENTUD</t>
  </si>
  <si>
    <t>PRENSA Y PUBLICACIONES</t>
  </si>
  <si>
    <t>COMBUSTIBLES JUVENTUD</t>
  </si>
  <si>
    <t>ACTIVIDADES JUVENTUD</t>
  </si>
  <si>
    <t>ARRENDAMIENTO MAQUINARIA, INSTAL. ETC.</t>
  </si>
  <si>
    <t>CONTRATO PRESTACION SERVICIOS</t>
  </si>
  <si>
    <t>ACTIVIDADES PARTCIPACION CIUDADANA</t>
  </si>
  <si>
    <t>CONSERV.INFRAEST. VIAS PUBLICAS</t>
  </si>
  <si>
    <t>RETR.BAS.LAB.FIJO ADMON.FINANC.</t>
  </si>
  <si>
    <t>CONSERV. MAQUINARIA ADMON. FINANCIERA</t>
  </si>
  <si>
    <t>MATERIAL OFICINA ADM.FINANCIERA</t>
  </si>
  <si>
    <t>DEVOLUCION DE INGRESOS</t>
  </si>
  <si>
    <t>SERV. RECAUDACION A FAVOR DE LA ENTIDAD</t>
  </si>
  <si>
    <t>DIETAS PERSONAL ADM.FINANCIERA</t>
  </si>
  <si>
    <t>GASTOS LOCOMOCION ADM.FINANCIERA</t>
  </si>
  <si>
    <t>INTERESES DE DEMORA</t>
  </si>
  <si>
    <t>OTROS GASTOS FINANCIEROS</t>
  </si>
  <si>
    <t>CONSERVACION MAQUINARIA MERCADO</t>
  </si>
  <si>
    <t>PUBLICIDAD COMERCIO INTERIOR</t>
  </si>
  <si>
    <t>GASTOS DIVERSOS RED AFIC</t>
  </si>
  <si>
    <t>ESTUDIOS TECNICOS COM. E INDUSTRIA</t>
  </si>
  <si>
    <t>PREMIOS CONCURSO ESCAPARATES</t>
  </si>
  <si>
    <t>RET.BAS. ORGANOS GOBIERNO</t>
  </si>
  <si>
    <t>RETRIB. BASICAS NORM.LING. GRUP. C2</t>
  </si>
  <si>
    <t>RETRIB. BASICAS S.SOCIALES GEN. GRUP. C1</t>
  </si>
  <si>
    <t>GRATIFICACIONES TURISMO</t>
  </si>
  <si>
    <t>CONSERVACION EDIFICIOS TURISMO</t>
  </si>
  <si>
    <t>CONSERVACION INSTALACIONES TURISMO</t>
  </si>
  <si>
    <t>MATERIAL OFICINA TURISMO</t>
  </si>
  <si>
    <t>PUBLICACIONES TURISMO</t>
  </si>
  <si>
    <t>VESTUARIO TURISMO</t>
  </si>
  <si>
    <t>OTROS SUMINISTROS TURISMO</t>
  </si>
  <si>
    <t>TRANSPORTES TURISMO</t>
  </si>
  <si>
    <t>ATENC. PROTOCOLARIAS TURISMO</t>
  </si>
  <si>
    <t>PUBLICIDAD TURISMO</t>
  </si>
  <si>
    <t>ACTIVIDADES TURISMO</t>
  </si>
  <si>
    <t>LIMPIEZA Y ASEO TURISMO</t>
  </si>
  <si>
    <t>TRABAJOS REALIZADOS OTRAS EMPRESAS</t>
  </si>
  <si>
    <t>DIETAS PERSONAL TURISMO</t>
  </si>
  <si>
    <t>LOCOMOCION PERSONAL TURISMO</t>
  </si>
  <si>
    <t>CONVENIO CRUZ ROJA</t>
  </si>
  <si>
    <t>CONVENIO AEHTMA</t>
  </si>
  <si>
    <t>MATERIAL OFICINA REL. INTERNACIONALES</t>
  </si>
  <si>
    <t>PUBLICIDAD RELACIONES INTERNACIONALES</t>
  </si>
  <si>
    <t>HERMANAMIENTOS</t>
  </si>
  <si>
    <t>CONTRATA LIMPIEZA EDIF.MUNICIPALES</t>
  </si>
  <si>
    <t>GASTOS DIVERSOS RELACIONES JUSTICIA</t>
  </si>
  <si>
    <t>ARRENDAMIENTO EDFI.ESCUELA IDIOMAS</t>
  </si>
  <si>
    <t>TASA SERVICIOS EDUCATIVOS</t>
  </si>
  <si>
    <t>GRATIFICACIONES BIBLIOTECA</t>
  </si>
  <si>
    <t>GRATIFICACION FIESTAS</t>
  </si>
  <si>
    <t>DE NATURALEZA RUSTICA</t>
  </si>
  <si>
    <t>I.B.I. DE NATURALEZA URBANA</t>
  </si>
  <si>
    <t>IBI CARACTERISTICAS ESPECIALES</t>
  </si>
  <si>
    <t>IMPTO.VEHICULOS</t>
  </si>
  <si>
    <t>IMPTO.INCREMENTO V.TERRE</t>
  </si>
  <si>
    <t>ACTIVIDADES EMPRESARIALES</t>
  </si>
  <si>
    <t>IMPUESTO SOBRE CONTRUCCIONES, OBRAS, INS</t>
  </si>
  <si>
    <t>VENTA DE IMPRESOS Y OTROS</t>
  </si>
  <si>
    <t>EXPEDICION DOCUMENTOS</t>
  </si>
  <si>
    <t>PLACAS, PATENTES</t>
  </si>
  <si>
    <t>CEMENTERIO</t>
  </si>
  <si>
    <t>TASA SERVICIOS DEPORTES</t>
  </si>
  <si>
    <t>TASA PRESENTACION A PRUEBAS SELECTIVAS</t>
  </si>
  <si>
    <t>RESIDENCIA ANCIANOS</t>
  </si>
  <si>
    <t>TASA VISITAS A MUSEOS</t>
  </si>
  <si>
    <t>USO INSTALACIONES MUNICIPALES</t>
  </si>
  <si>
    <t>TASA ACTIVIDADES FESTIVALES Y ESPECTACUL</t>
  </si>
  <si>
    <t>INSCRIPCION REGISTRO PERROS</t>
  </si>
  <si>
    <t>TASA INSPECCION AMBIENTAL</t>
  </si>
  <si>
    <t>TASA ECOPARQUE Y CANTERA</t>
  </si>
  <si>
    <t>CENTRO DE DIA</t>
  </si>
  <si>
    <t>ACT.SING.REG.TRAFICO</t>
  </si>
  <si>
    <t>LONJAS Y MERCADOS</t>
  </si>
  <si>
    <t>TRABAJOS PROD. ESTABLEC. CORPORACION</t>
  </si>
  <si>
    <t>LIC.URBANIST.</t>
  </si>
  <si>
    <t>RETRIB. BASICAS ,.AMBIENTE GRUP.C1</t>
  </si>
  <si>
    <t>RETRIB. BASICAS BIBLIOTECA GRUP.A2</t>
  </si>
  <si>
    <t>RETRIBUCIONES BASICAS LAB. FIJO ARQ.Y PAT.</t>
  </si>
  <si>
    <t>ACOMPA･AMIENTO VEHICULOS PESADO</t>
  </si>
  <si>
    <t>MESAS Y SILLAS</t>
  </si>
  <si>
    <t>PUESTOS Y BARRACAS, ETC. (FERIA)</t>
  </si>
  <si>
    <t>INDUSTRIAS CALLEJERAS</t>
  </si>
  <si>
    <t>COLUMNAS Y CARTELES</t>
  </si>
  <si>
    <t>VALLAS, ANDAMIOS, ETC.</t>
  </si>
  <si>
    <t>ENTRADA DE VEHICULOS</t>
  </si>
  <si>
    <t>ESTAC. VEHICULOS VIA PUBLICA</t>
  </si>
  <si>
    <t>REINTEGROS PTOS. CERRADOS</t>
  </si>
  <si>
    <t>RECARGOS APREMIO</t>
  </si>
  <si>
    <t>RECARGO DECL. FUERA PLAZO</t>
  </si>
  <si>
    <t>INTERESES DEMORA</t>
  </si>
  <si>
    <t>APROVECHAMIENTO URBANISTICO</t>
  </si>
  <si>
    <t>IMPREVISTOS</t>
  </si>
  <si>
    <t>ANUNCIOS A CARGO PARTICUL</t>
  </si>
  <si>
    <t>OBRAS A CARGO PARTIC.</t>
  </si>
  <si>
    <t>DONATIVOS</t>
  </si>
  <si>
    <t>SUBV.GEN.(ACCION SOCIAL)</t>
  </si>
  <si>
    <t>TRANF. CTES. EMPRESAS PRIVADAS</t>
  </si>
  <si>
    <t>SUBV. FAMILIAS E INST. SIN FIN LUCRO</t>
  </si>
  <si>
    <t>ARRENDTO.FINCAS URBANAS</t>
  </si>
  <si>
    <t>CONC.ADMTVAS.</t>
  </si>
  <si>
    <t>PRESTAMOS A LARGO PLAZO</t>
  </si>
  <si>
    <t>FONDOS FEDER</t>
  </si>
  <si>
    <t>EC</t>
  </si>
  <si>
    <t>CONCEPTO</t>
  </si>
  <si>
    <t>Total 11</t>
  </si>
  <si>
    <t>TASA UTILIZACION PRIV.EMP.EXPLOT.SUMINISTROS</t>
  </si>
  <si>
    <t>TASA UTILIZACION PRIV.EMP.EXPLOT.TELEFONIA</t>
  </si>
  <si>
    <t>Total 313</t>
  </si>
  <si>
    <t>PREV/11</t>
  </si>
  <si>
    <t>SUELDO FUNCIONARIOS SUBGRUPO A2</t>
  </si>
  <si>
    <t>SUELDO FUNCIONARIOS SUBGRUPO C1</t>
  </si>
  <si>
    <t>SUELDO FUNCIONARIOS SUBGRUPO C2</t>
  </si>
  <si>
    <t>SUELDO FUNCIONARIOS AGRUP. PROFESIONAL</t>
  </si>
  <si>
    <t xml:space="preserve"> COMPLEMENTO ESPECÍFICO</t>
  </si>
  <si>
    <t>IN.N.MAQ.RESIDENCIA</t>
  </si>
  <si>
    <t>APROVECHAMIENTO ESPECIAL CANTERA</t>
  </si>
  <si>
    <t>CAP.</t>
  </si>
  <si>
    <t>DENOMINACION</t>
  </si>
  <si>
    <t>CDTO.09</t>
  </si>
  <si>
    <t>AUM./BAJA</t>
  </si>
  <si>
    <t>Gastos de Personal</t>
  </si>
  <si>
    <t>Gastos en bienes corrientes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</si>
  <si>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</si>
  <si>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</si>
  <si>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</si>
  <si>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</si>
  <si>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</si>
  <si>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</si>
  <si>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</t>
  </si>
  <si>
    <t>ESTADO DE INGRESOS</t>
  </si>
  <si>
    <t>PREV.09</t>
  </si>
  <si>
    <t>Impuestos Directos</t>
  </si>
  <si>
    <t>Impuestos Indirectos</t>
  </si>
  <si>
    <t>Tasas y Otros ingresos</t>
  </si>
  <si>
    <t>Ingresos Patrimoniales</t>
  </si>
  <si>
    <t>Enajenación Inversiones Reales</t>
  </si>
  <si>
    <t>Transferencias de capital</t>
  </si>
  <si>
    <t>AUM/BAJA</t>
  </si>
  <si>
    <t>TRANSF. CAP. GENERALITAT</t>
  </si>
  <si>
    <t>COMPLEM. ESPECIF. POLICIA</t>
  </si>
  <si>
    <t>PREV.12</t>
  </si>
  <si>
    <t>CREDITO/12</t>
  </si>
  <si>
    <t>FOMENTO EMPLEO (CREAMA Y TALLER EMPLEO)</t>
  </si>
  <si>
    <t>Total 926</t>
  </si>
  <si>
    <t>TASA RECOGIDA VERDE</t>
  </si>
  <si>
    <t>AYUDAS MEDIDAS SOCIALES</t>
  </si>
  <si>
    <t>CONVENIO APROSDECO</t>
  </si>
  <si>
    <t>TRANSF.ENTIDADES S/A LUCRO</t>
  </si>
  <si>
    <t>AYUDAS COMEDORES</t>
  </si>
  <si>
    <t>CONTRATOS PRESTACION SERVICIOS</t>
  </si>
  <si>
    <t>RETRIB. BASICAS LAB. TEMPORAL URBANISMO</t>
  </si>
  <si>
    <t>OTRAS RETRIB. LAB. TEMPORAL URBANISMO</t>
  </si>
  <si>
    <t>CONVENIO MARINA DE DENIA</t>
  </si>
  <si>
    <t>TRANSF.AVEN</t>
  </si>
  <si>
    <t>CANON DE URBANIZACION</t>
  </si>
  <si>
    <t>INV.NUEVA OTRAS INFRAEST.TURISMO</t>
  </si>
  <si>
    <t>AUM./BAJAS</t>
  </si>
  <si>
    <t>%S/TOTAL</t>
  </si>
  <si>
    <t>PREVISION 2012</t>
  </si>
  <si>
    <t>% INCREM.</t>
  </si>
  <si>
    <t>% S/ TOTAL</t>
  </si>
  <si>
    <t>%INCREM.</t>
  </si>
  <si>
    <t>SUPERAVIT</t>
  </si>
  <si>
    <t xml:space="preserve">TRANSPORTES </t>
  </si>
  <si>
    <t xml:space="preserve">ACTIVIDADES ARQUEOLOGIA </t>
  </si>
  <si>
    <t>ESTADO DE GASTOS</t>
  </si>
  <si>
    <t>OTROS SUMINISTROS POLIDEPORTIVO</t>
  </si>
  <si>
    <t>ATENCIONES PROTOCOLARIAS</t>
  </si>
  <si>
    <t>CREDITO/13</t>
  </si>
  <si>
    <t>PREV.13</t>
  </si>
  <si>
    <t>FONDO DE CONTINGENCIA DE EJ. PRESUPUESTARIA</t>
  </si>
  <si>
    <t>TRIBUTOS MUNICIPALES</t>
  </si>
  <si>
    <t>RET.BAS.FUNC. AGRUP.PROF.</t>
  </si>
  <si>
    <t xml:space="preserve">GRATIFICACIONES </t>
  </si>
  <si>
    <t>RETRIB. BASICAS GRUP. C1</t>
  </si>
  <si>
    <t>PRIMAS DE SEGUROS</t>
  </si>
  <si>
    <t>ACTIVIDADES COMERCIO</t>
  </si>
  <si>
    <t>CONSERVACION EDIFICIOS EDUCACION</t>
  </si>
  <si>
    <t>DIVIDENDOS AGUAS DE DENIA</t>
  </si>
  <si>
    <t>PROG</t>
  </si>
  <si>
    <t>CREDTO 2012</t>
  </si>
  <si>
    <t>CREDITO  2013</t>
  </si>
  <si>
    <t>PREVISION 2013</t>
  </si>
  <si>
    <t>GTO.COMP.</t>
  </si>
  <si>
    <t>CREDITO/14</t>
  </si>
  <si>
    <t>TRIBUTOS ESTATALES</t>
  </si>
  <si>
    <t>PREV.14</t>
  </si>
  <si>
    <t>RETRIB. BASICAS ADMON. GRAL. SEG.GRUP.A2</t>
  </si>
  <si>
    <t>RETRIB. BASICAS URBANISMO AP</t>
  </si>
  <si>
    <t>RETRIB. BASICAS M.AMBIENTE GRUP.A2</t>
  </si>
  <si>
    <t>AGUAS DENIA PAGO CANON CH</t>
  </si>
  <si>
    <t>RETRIB. BASICAS S. SOCIALES GEN. A.P.</t>
  </si>
  <si>
    <t>RETRIB. BASICAS EDUCACION GRUP. A.P.</t>
  </si>
  <si>
    <t>RETRIB. BASICAS CULTURA GRUP. A.P.</t>
  </si>
  <si>
    <t>CONSERV. EDIFICIOS CULTURA</t>
  </si>
  <si>
    <t>RETRIB. BASICAS DEPORTES GRUP. A.P.</t>
  </si>
  <si>
    <t>EXPROPIACIONES</t>
  </si>
  <si>
    <t xml:space="preserve">  </t>
  </si>
  <si>
    <t>ORDENACION DEL TRAFICO (SEÑALIZACION)</t>
  </si>
  <si>
    <t>Total 133</t>
  </si>
  <si>
    <t xml:space="preserve">ARRENDAMIENTO MAQUINARIA </t>
  </si>
  <si>
    <t xml:space="preserve">COMBUSTIBLES </t>
  </si>
  <si>
    <t>I.N. MAQUINARIA</t>
  </si>
  <si>
    <t>ARRENDAM. MAQUINARIA</t>
  </si>
  <si>
    <t>RETRIB. BASICAS ADMON. GRAL. SEG. GRUP C2</t>
  </si>
  <si>
    <t>RETRIB. BASICAS ADMON. GRAL.SEG. GRUP. A.P.</t>
  </si>
  <si>
    <t>COMPLEM. DESTINO SEÑAL.</t>
  </si>
  <si>
    <t>COMPLEM. ESPECIF. SEÑAL.</t>
  </si>
  <si>
    <t>OTRAS REM. LAB. FIJOS SEÑAL.</t>
  </si>
  <si>
    <t>RET. BAS. LAB. FIJOS SEÑAL.</t>
  </si>
  <si>
    <t>CREDITO 2014</t>
  </si>
  <si>
    <t>PREVISION 2014</t>
  </si>
  <si>
    <t>Fondo de Contingencia</t>
  </si>
  <si>
    <t>TRANSF. CTES AYUDAS LIBROS DE TEXTO</t>
  </si>
  <si>
    <t>DIETAS ASISTENCIAS ORGANOS COLEGIADOS</t>
  </si>
  <si>
    <t>PUBLICIDAD EN MEDIOS COMUNICACIÓN</t>
  </si>
  <si>
    <t>ATENCIONES REPRESENTATIVAS</t>
  </si>
  <si>
    <t>OFICINA DE ATENCION AL CONSUMIDOR</t>
  </si>
  <si>
    <t>COMPLEM. DESTINO AT.CONSUM.</t>
  </si>
  <si>
    <t>COMPLEM. ESPECIF. AT.CONSUM.</t>
  </si>
  <si>
    <t>ARRENDAMIENTO MAQUINARIA AT.CONSUM.</t>
  </si>
  <si>
    <t>GASTOS DIVERSOS FIESTAS</t>
  </si>
  <si>
    <t xml:space="preserve">GASTOS DIVERSOS </t>
  </si>
  <si>
    <t>NO CLASIFICADOS (NORMAL.LINGÜISTICA)</t>
  </si>
  <si>
    <t>SERVICIO TRATAMIENTO RESIDUOS</t>
  </si>
  <si>
    <t>OTRAS MULTAS</t>
  </si>
  <si>
    <t>RECARGO EJECUTIVO</t>
  </si>
  <si>
    <t>LIC.ACTIVIDADES</t>
  </si>
  <si>
    <t>SUBV. AGENCIA VAL. TURISMO</t>
  </si>
  <si>
    <t>CREDITO/15</t>
  </si>
  <si>
    <t>PREV.15</t>
  </si>
  <si>
    <t>GESTION RESIDUOS</t>
  </si>
  <si>
    <t>TRATAMIENTO RESIDUOS</t>
  </si>
  <si>
    <t>Total 430</t>
  </si>
  <si>
    <t xml:space="preserve">COMERCIO </t>
  </si>
  <si>
    <t>MERCADO</t>
  </si>
  <si>
    <t>Total 163</t>
  </si>
  <si>
    <t>LIMPIEZA VIARIA</t>
  </si>
  <si>
    <t>CONTRATO LIMPIEZA VIARIA</t>
  </si>
  <si>
    <t>ACCION SOCIAL EMPLEADOS</t>
  </si>
  <si>
    <t>Total 221</t>
  </si>
  <si>
    <t>OTRAS PRESTACIONES EC. A FAVOR EMPLEADOS</t>
  </si>
  <si>
    <t>TRANSF. CAPITAL DIPUTACION</t>
  </si>
  <si>
    <t>PREMIO FALLAS</t>
  </si>
  <si>
    <t>ESTUDIOS Y TRABAJOS TECNICOS</t>
  </si>
  <si>
    <t>CONSERV. EDIFICIOS</t>
  </si>
  <si>
    <t>ARREND. MAT. TRANSP.</t>
  </si>
  <si>
    <t>MOBILIARIO</t>
  </si>
  <si>
    <t>I.N. MAQUINARIA SEÑALIZACION</t>
  </si>
  <si>
    <t>SEG.SOCIAL ADM.CENTRAL</t>
  </si>
  <si>
    <t>ARRENDAM. MAQ. CULTURA</t>
  </si>
  <si>
    <t>TRIBUTOS DIR.GRAL.COSTAS</t>
  </si>
  <si>
    <t>TRANS.CTES.CONSORCIO AGUAS MARINA ALTA</t>
  </si>
  <si>
    <t>SEGURIDAD SOCIAL POLICIA</t>
  </si>
  <si>
    <t>SEGURIDAD SOCIAL URBANISMO</t>
  </si>
  <si>
    <t>SEG.SOCIAL CEMENTERIO</t>
  </si>
  <si>
    <t>SEG.SOCIAL ALUMBRADO</t>
  </si>
  <si>
    <t>SEG.SOCIAL PARQUES Y JARDINES</t>
  </si>
  <si>
    <t>SEG.SOCIAL ACCION SOCIAL</t>
  </si>
  <si>
    <t>SEG.SOCIAL S.SOCIALES ESPECIALES</t>
  </si>
  <si>
    <t>SEG.SOCIAL RESIDENCIA</t>
  </si>
  <si>
    <t>SEG.SOCIAL  COLEGIOS</t>
  </si>
  <si>
    <t>SEG.SOCIAL  BIBLIOTECA</t>
  </si>
  <si>
    <t>SEG.SOCIAL  PATRIMONIO</t>
  </si>
  <si>
    <t>SEG.SOCIAL  JUVENTUD</t>
  </si>
  <si>
    <t>SEG. SOCIAL CENTRO SOCIAL</t>
  </si>
  <si>
    <t>SEG. SOCIAL FIESTAS</t>
  </si>
  <si>
    <t>SEG. SOCIAL DEPORTES</t>
  </si>
  <si>
    <t>SEG. SOCIAL MERCADO</t>
  </si>
  <si>
    <t>SEG. SOCIAL TURISMO</t>
  </si>
  <si>
    <t>SEG. SOCIAL OBRAS Y SERV</t>
  </si>
  <si>
    <t>SEG. SOCIAL AT.CONSUM.</t>
  </si>
  <si>
    <t>SEG. SOCIAL ORG.GOBIERNO</t>
  </si>
  <si>
    <t xml:space="preserve">RET.COMPLEM.EVENTUAL ORGANOS </t>
  </si>
  <si>
    <t>SEG. SOCIAL REL.INT.</t>
  </si>
  <si>
    <t>COMPLEM. DESTINO REL.INT.</t>
  </si>
  <si>
    <t>COMPLEM. ESPECIF. REL.INT.</t>
  </si>
  <si>
    <t>SEG. SOCIAL ARCHIVO</t>
  </si>
  <si>
    <t>SEG. SOCIAL RIESG. LABORALES</t>
  </si>
  <si>
    <t>SEG. SOCIAL NORM. LING.</t>
  </si>
  <si>
    <t>SEG. SOCIAL INFORMATICA</t>
  </si>
  <si>
    <t xml:space="preserve">SEG. SOCIAL  PART. CIUDADANA </t>
  </si>
  <si>
    <t>TASA OTROS SERVICIOS URBANISTICOS</t>
  </si>
  <si>
    <t>RETRIB. BASICAS ADMON. GRAL.AGRUP.PROF.</t>
  </si>
  <si>
    <t>RETRIB. BASICAS ADMON. GRAL.SEG. AG.PROF.</t>
  </si>
  <si>
    <t>RETRIB. BASICAS RESIDENCIA GRUP. C1</t>
  </si>
  <si>
    <t>CREDITO 2015</t>
  </si>
  <si>
    <t>PREVISION 2015</t>
  </si>
  <si>
    <t>CREDITO/16</t>
  </si>
  <si>
    <t>AUM/BAJ</t>
  </si>
  <si>
    <t>SEGURIDAD SOCIAL SEÑAL.</t>
  </si>
  <si>
    <t>CONSERVACION MAT.TRANSPORTE P.CIVIL</t>
  </si>
  <si>
    <t>ARRENDAM. MAQ. URBANISMO</t>
  </si>
  <si>
    <t>OCIO Y TIEMPO LIBRE (JUVENTUD,C.SOCIAL, y MAYOR)</t>
  </si>
  <si>
    <t>Total 23110</t>
  </si>
  <si>
    <t>Total 23111</t>
  </si>
  <si>
    <t>Total 23112</t>
  </si>
  <si>
    <t>Total 23113</t>
  </si>
  <si>
    <t>OTRAS INVERSIONES PARQUES Y JARDINES</t>
  </si>
  <si>
    <t>GASTOS APLIACIONES INFORMATICAS</t>
  </si>
  <si>
    <t>EQUIPOS INFORMATICOS</t>
  </si>
  <si>
    <t>ACTIVIDADES "MUSEU ETNOLOGIC 25 ANYS"</t>
  </si>
  <si>
    <t>OTROS SUMINISTROS PATRIMONIO</t>
  </si>
  <si>
    <t>AGRICULTURA Y PESCA</t>
  </si>
  <si>
    <t>OTRAS INVERSIONES URBANISMO</t>
  </si>
  <si>
    <t>RETRIB. BASICAS CEMENTERIO. AGRUP. PROF</t>
  </si>
  <si>
    <t>RET. BAS. LAB. FIJOS M. AMBIENTE</t>
  </si>
  <si>
    <t>OTRAS REM. LAB. FIJOS M. AMBIENTE</t>
  </si>
  <si>
    <t>RETRIB. BASICAS LAB. TEMPORAL M. AMBIENTE</t>
  </si>
  <si>
    <t>OTRAS RETRIB. LAB. TEMPORAL M.AMBIENTE</t>
  </si>
  <si>
    <t>RETRIB. BASICAS LAB. TEMPORAL S.SOC.GENERALES</t>
  </si>
  <si>
    <t>OTRAS RETRIB. LAB. TEMPORAL S.SOC. GENERALES</t>
  </si>
  <si>
    <t>RETRIB. BASICAS LABORAL FIJO S.SOC.ESP.</t>
  </si>
  <si>
    <t>OTRAS REMUN. LABORAL FIJO S.SOC.ESP.</t>
  </si>
  <si>
    <t>SEG.SOCIAL  CULTURA</t>
  </si>
  <si>
    <t>RETRIB. BASICAS AT.CONSUM. GRUP. C1</t>
  </si>
  <si>
    <t>PARTICIPACION CIUDADANA Y AGENDA XXI LOCAL</t>
  </si>
  <si>
    <t>CONSERV. EDIFICIOS MEDIO AMBIENTE</t>
  </si>
  <si>
    <t>INSTITUTO ECOLOGICO DEL LITORAL</t>
  </si>
  <si>
    <t>ADMON.GRAL. SEGURIDAD</t>
  </si>
  <si>
    <t>I.N. MAQUINARIA CULTURA</t>
  </si>
  <si>
    <t>RET.BAS.LAB.FIJO ALUMBRADO</t>
  </si>
  <si>
    <t>RETRIB. BASICAS LAB. TEMPORAL P.Y JARDINES</t>
  </si>
  <si>
    <t>OTRAS RETRIB. LAB. TEMPORAL P. Y JARDINES</t>
  </si>
  <si>
    <t>PUBLICACIONES PATRIMONIO</t>
  </si>
  <si>
    <t>I.N. MAQUINARIA PATRIMONIO</t>
  </si>
  <si>
    <t>PREV.16</t>
  </si>
  <si>
    <t>LICENCIAS PRIMERA OCUPACION</t>
  </si>
  <si>
    <t>I.N. MAQUINARIA URBANISMO</t>
  </si>
  <si>
    <t>SUBV.DIPUTACION SOCIAL</t>
  </si>
  <si>
    <t>SUBV. DIPUTACION EMPLEO</t>
  </si>
  <si>
    <t>CONCESIONES PLAYAS</t>
  </si>
  <si>
    <t>CREDITO 2016</t>
  </si>
  <si>
    <t>PREVISION 2016</t>
  </si>
  <si>
    <t>RETIRADA VEHICULOS VIA PUBLICA</t>
  </si>
  <si>
    <t>PREV17</t>
  </si>
  <si>
    <t>CONVENIO ASOCIACION PROCICLISMO</t>
  </si>
  <si>
    <t>CONSORCIO UNED</t>
  </si>
  <si>
    <t>I.N. MAT. TRANSPORTE</t>
  </si>
  <si>
    <t>MATERIAL LIMPIEZA</t>
  </si>
  <si>
    <t>INSTITUTO DE ESTUDIOS COMARCALES</t>
  </si>
  <si>
    <t>AYUDAS ACOG. FAMILIAR</t>
  </si>
  <si>
    <t>ACTIVIDADES</t>
  </si>
  <si>
    <t>PROMOCION SOCIAL (IGUALDAD, TALLERES,MAYOR)</t>
  </si>
  <si>
    <t>PREMIOS CONCURSO</t>
  </si>
  <si>
    <t>PREMIOS JUVENTUD</t>
  </si>
  <si>
    <t>RET. BAS. LAB. TEMPORALSEÑAL.</t>
  </si>
  <si>
    <t>ORTRAS RET. LAB. TEMPORAL SEÑALIZACION</t>
  </si>
  <si>
    <t>PRODUCTIVIDAD SEÑALIZACION</t>
  </si>
  <si>
    <t>GRATIFIC. SEÑAL.</t>
  </si>
  <si>
    <t>CREDITO/17</t>
  </si>
  <si>
    <t>Total 43210</t>
  </si>
  <si>
    <t>OFICINA DE INNOVACION Y CREATIVIDAD</t>
  </si>
  <si>
    <t>PUBLICIDAD OF.INNOV.</t>
  </si>
  <si>
    <t>ACTIVIDADES OF.INNOV.</t>
  </si>
  <si>
    <t>BECAS ESTUDIANTES</t>
  </si>
  <si>
    <t>DIETAS PERSONAL OF. INNOV.</t>
  </si>
  <si>
    <t>LOCOMOCION PERSONAL OF. INNOV.</t>
  </si>
  <si>
    <t>OTRAS INVERSIONES REPOSICION</t>
  </si>
  <si>
    <t>I.N. MAT. TRANSPORTE OBRAS Y SERV.</t>
  </si>
  <si>
    <t>PROGRAMAS SERV. SOCIALES (SAD)</t>
  </si>
  <si>
    <t xml:space="preserve">CONTRATOS PRESTACION SERVICIOS </t>
  </si>
  <si>
    <t>I.N. EDIFICIOS</t>
  </si>
  <si>
    <t>FONDO DE COOPERACION MUNICPAL</t>
  </si>
  <si>
    <t>GRATIF. S. SOC. ESP.</t>
  </si>
  <si>
    <t>RETRIB. BASICAS RESIDENCIA A.P.</t>
  </si>
  <si>
    <t>GRATIF.C.SOCIAL</t>
  </si>
  <si>
    <t>PRODUCTIVIDAD S. EC.</t>
  </si>
  <si>
    <t>I.N. MOBILIARIO CENTRO SOCIAL</t>
  </si>
  <si>
    <t>I.N. MAQUINARIA DEPORTES</t>
  </si>
  <si>
    <t>TRIBUTOS DIR. GRAL COSTAS</t>
  </si>
  <si>
    <t>OTRAS ACTUACIONES SECTORIALES (PLAYAS)</t>
  </si>
  <si>
    <t>Total 439</t>
  </si>
  <si>
    <t>RET. BAS. OBRAS Y SERV. GRUP.C1</t>
  </si>
  <si>
    <t>CREDITO 2017</t>
  </si>
  <si>
    <t>I.REP.EDIFICIOS RESIDENCIA</t>
  </si>
  <si>
    <t>TRABAJOS REAL. OTRAS EMPRESAS PLAYAS</t>
  </si>
  <si>
    <t xml:space="preserve">I.REP. EDIFICIOS </t>
  </si>
  <si>
    <t>PREVISION 2017</t>
  </si>
  <si>
    <t>TOTAL CAPITULO I</t>
  </si>
  <si>
    <t>TOTAL CAPITULO II</t>
  </si>
  <si>
    <t>TOTAL CAPITULO III</t>
  </si>
  <si>
    <t>TOTAL CAPITULO IV</t>
  </si>
  <si>
    <t>TOTAL CAPITULO V</t>
  </si>
  <si>
    <t>TOTAL CAPITULO VI</t>
  </si>
  <si>
    <t>TOTAL CAPITULO VII</t>
  </si>
  <si>
    <t>TOTAL CAPITULO IX</t>
  </si>
  <si>
    <t xml:space="preserve">EJECUCIONES SUBSIDIARIAS </t>
  </si>
  <si>
    <t>RETRIB. BASICAS OF.INNOV. GRUP. C2</t>
  </si>
  <si>
    <t>COMPLEM. DESTINO OF. INNOV.</t>
  </si>
  <si>
    <t>COMPLEM. ESPECIF. OF. INNOV.</t>
  </si>
  <si>
    <t>RETRIB.BASIC.PERS.FIJO OF.INNOV.</t>
  </si>
  <si>
    <t>OTRAS REMUN.LAB.FIJOS OF. INNOV.</t>
  </si>
  <si>
    <t>SEG. SOCIAL OF. INNOV.</t>
  </si>
  <si>
    <t>SUBV, GENERALITAT GENERAL</t>
  </si>
  <si>
    <t>SUBV GENERALITAT</t>
  </si>
  <si>
    <t>CANON VERTIDOS CH y TASA VERTIDO GV</t>
  </si>
  <si>
    <t>I.N. MOBILIARIO ADM. GRAL.</t>
  </si>
  <si>
    <t>I.REP. EDIFICIOS ADM. GENERAL</t>
  </si>
  <si>
    <t>TRANSF. CTES.CONSORCIO COMARCAS CENTRALES</t>
  </si>
  <si>
    <t>I.N. MAQ. CEMENTERIO</t>
  </si>
  <si>
    <t>OTRAS INV. INFRAEST. MEDIO AMBIENTE</t>
  </si>
  <si>
    <t>CONVOCATORIA AYUDAS DEPORTISTAS</t>
  </si>
  <si>
    <t>GASTOS DIVERSOS NORMAL. LINGÜÍSTICA</t>
  </si>
  <si>
    <t>CONVENIO ACIF</t>
  </si>
  <si>
    <t>I.REP.EDIFICIOS EDUCACION</t>
  </si>
  <si>
    <t>COMPENSACION BENEFICIOS FISCALES</t>
  </si>
  <si>
    <t>OTRAS TRANSFERENCIAS DE LA ADM. GRAL DELE ESTADO</t>
  </si>
  <si>
    <t>I.REP.EDIFICIOS</t>
  </si>
  <si>
    <t>ESTUDIOS Y TRABAJOS TECNICOS (S.Externos)</t>
  </si>
  <si>
    <t>ESTUDIOS Y TRABAJOS TECNICOS URBANISMO (S.Ext.)</t>
  </si>
  <si>
    <t>ESTUDIOS Y TRABAJOS TECNICOS RESIDENCIA (S.Ext.)</t>
  </si>
  <si>
    <t>ESTUDIOS Y TRABAJOS TECNICOS C. SOCIAL (S.Externos)</t>
  </si>
  <si>
    <t>ESTUDIOS Y TRABAJOS TECNICOS ORG. GOB.(S.Externos)</t>
  </si>
  <si>
    <t>ESTUDIOS Y TRABAJOS TECNICOS (S. Externos)</t>
  </si>
  <si>
    <t>ESTUDIOS Y TRAB. TECNICOS RIESG. LAB. (S. Externos)</t>
  </si>
  <si>
    <t>CREDITO/18</t>
  </si>
  <si>
    <t>ARRENDAMIENTO EDIFICIOS</t>
  </si>
  <si>
    <t>PUBLICACIONES URBANISMO</t>
  </si>
  <si>
    <t>PREV18</t>
  </si>
  <si>
    <t>INTERESES DE DEPOSITOS</t>
  </si>
  <si>
    <t>PUBLICIDAD MERCADO</t>
  </si>
  <si>
    <t>CONSERVACION INSTALACIONES PLAYAS</t>
  </si>
  <si>
    <t>TRANSFERENCIA CAPITAL DIPUTACION</t>
  </si>
  <si>
    <t>TRANF.CTE. CDAD USUARIOS VERTIDOS</t>
  </si>
  <si>
    <t>PREMIOS FALLAS Y CONCURSO INT. GAMBA</t>
  </si>
  <si>
    <t>CONVENIO CLASISIC MOTOR CLUB DENIA</t>
  </si>
  <si>
    <t>I.N. MOBILIARIO</t>
  </si>
  <si>
    <t>AT. PROTOCOLARIAS</t>
  </si>
  <si>
    <t>OTRAS INV. REP.INFRAEST.Y BIENES DEST. USO GRAL.</t>
  </si>
  <si>
    <t>I.N.MAQUINARIA ADM. GRAL.</t>
  </si>
  <si>
    <t>TRANSF.ESTADO</t>
  </si>
  <si>
    <t>DIETAS PERSONAL NORMALIZ. LINGUISTICA</t>
  </si>
  <si>
    <t>I.N. MOBILIARIO ARCHIVO</t>
  </si>
  <si>
    <t>I.N. MOBILIARIO BIBLIOTECA</t>
  </si>
  <si>
    <t>CONSERV.INFRAEST. Y BIENES NATURALES</t>
  </si>
  <si>
    <t>I.REP. INFRAESTRUCTURAS</t>
  </si>
  <si>
    <t>SUMINISTRO AGUA PARQUES Y JARDINES</t>
  </si>
  <si>
    <t>LOCOMOCION RIESGOS LAB.</t>
  </si>
  <si>
    <t>CONSERV.MAQUINARIA PART. CIUDADANA</t>
  </si>
  <si>
    <t>SUBV.DIPUT. (INV.SOST.)</t>
  </si>
  <si>
    <t>ARRENDAMIENTO EDIFICOS</t>
  </si>
  <si>
    <t>CONVENIO UNIV. ALICANTE CENTRO GASTRONOMIA</t>
  </si>
  <si>
    <t>I.N.MOBILIARIO URBANISMO</t>
  </si>
  <si>
    <t>TRANSF. CAPITAL GENERALITA VALENCIANA</t>
  </si>
  <si>
    <t>ARREND. MAT. TRANSPORTE</t>
  </si>
  <si>
    <t xml:space="preserve">ESTUDIOS Y TRABAJOS TECNICOS </t>
  </si>
  <si>
    <t>OTRAS INV.REPOSICION INFRAEST</t>
  </si>
  <si>
    <t>OTRAS INVERSIONES VIAS PUBLICAS</t>
  </si>
  <si>
    <t>PREMIOS BIBLIOTECA</t>
  </si>
  <si>
    <t>CANON D.G. COSTAS</t>
  </si>
  <si>
    <t>CANON PUERTOS</t>
  </si>
  <si>
    <t>PRODUCTIVIDAD ADMON. CENTRAL</t>
  </si>
  <si>
    <t>RETRIB.BASICAS AGRUP.PROF.M.AMBIENTE</t>
  </si>
  <si>
    <t>SEG.SOCIAL M.AMBIENTE</t>
  </si>
  <si>
    <t>RETRIB.BASICAS EDUCACION GRUP.C1</t>
  </si>
  <si>
    <t>RETTRIB.BASICAS RISGOS LAB.GRUP.C1</t>
  </si>
  <si>
    <t>SEG.SOCIAL SERVICIOS ECONOMICOS</t>
  </si>
  <si>
    <t>SUBV GENERALITAT EMPLEO</t>
  </si>
  <si>
    <t>CREDITO 2018</t>
  </si>
  <si>
    <t>PREVISION 2018</t>
  </si>
  <si>
    <t>I.N.MAQUINARIA C.SOCIAL</t>
  </si>
  <si>
    <t>I.N.MAQUINARIA BIBLIOTECA</t>
  </si>
  <si>
    <t>I.REP OTRAS INFRAEST. JUVENTUD</t>
  </si>
  <si>
    <t>ACTIVIDADES MEDIO AMBIENTE (Est.científica Montgó)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</si>
</sst>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4" fillId="0" borderId="0" xfId="0" applyFont="1" applyFill="1" applyBorder="1"/>
    <xf numFmtId="0" fontId="2" fillId="0" borderId="0" xfId="0" applyFont="1" applyFill="1" applyBorder="1"/>
    <xf numFmtId="4" fontId="0" fillId="2" borderId="0" xfId="0" applyNumberFormat="1" applyFill="1"/>
    <xf numFmtId="4" fontId="0" fillId="0" borderId="0" xfId="0" applyNumberFormat="1" applyFill="1"/>
    <xf numFmtId="4" fontId="2" fillId="0" borderId="0" xfId="0" applyNumberFormat="1" applyFont="1" applyFill="1"/>
    <xf numFmtId="0" fontId="2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2" fillId="0" borderId="0" xfId="0" applyNumberFormat="1" applyFont="1" applyFill="1"/>
    <xf numFmtId="0" fontId="4" fillId="0" borderId="0" xfId="0" applyFont="1" applyFill="1"/>
    <xf numFmtId="0" fontId="2" fillId="3" borderId="2" xfId="0" applyFont="1" applyFill="1" applyBorder="1"/>
    <xf numFmtId="4" fontId="2" fillId="3" borderId="2" xfId="0" applyNumberFormat="1" applyFont="1" applyFill="1" applyBorder="1"/>
    <xf numFmtId="4" fontId="4" fillId="0" borderId="0" xfId="0" applyNumberFormat="1" applyFont="1"/>
    <xf numFmtId="0" fontId="4" fillId="0" borderId="0" xfId="0" applyFont="1"/>
    <xf numFmtId="4" fontId="0" fillId="4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Border="1"/>
    <xf numFmtId="4" fontId="4" fillId="0" borderId="0" xfId="0" applyNumberFormat="1" applyFont="1" applyBorder="1"/>
    <xf numFmtId="0" fontId="2" fillId="3" borderId="3" xfId="0" applyFont="1" applyFill="1" applyBorder="1"/>
    <xf numFmtId="0" fontId="2" fillId="3" borderId="4" xfId="0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NumberFormat="1" applyFont="1"/>
    <xf numFmtId="4" fontId="9" fillId="0" borderId="0" xfId="0" applyNumberFormat="1" applyFont="1"/>
    <xf numFmtId="10" fontId="0" fillId="0" borderId="0" xfId="0" applyNumberFormat="1"/>
    <xf numFmtId="4" fontId="7" fillId="0" borderId="0" xfId="0" applyNumberFormat="1" applyFont="1"/>
    <xf numFmtId="0" fontId="9" fillId="0" borderId="0" xfId="0" applyFont="1"/>
    <xf numFmtId="0" fontId="0" fillId="2" borderId="0" xfId="0" applyFill="1"/>
    <xf numFmtId="0" fontId="0" fillId="5" borderId="0" xfId="0" applyFill="1"/>
    <xf numFmtId="10" fontId="7" fillId="0" borderId="0" xfId="0" applyNumberFormat="1" applyFont="1"/>
    <xf numFmtId="4" fontId="8" fillId="0" borderId="0" xfId="0" applyNumberFormat="1" applyFont="1"/>
    <xf numFmtId="4" fontId="2" fillId="0" borderId="2" xfId="0" applyNumberFormat="1" applyFont="1" applyFill="1" applyBorder="1"/>
    <xf numFmtId="0" fontId="0" fillId="0" borderId="0" xfId="0" applyFont="1" applyFill="1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1" fillId="0" borderId="0" xfId="0" applyFont="1" applyFill="1" applyBorder="1"/>
    <xf numFmtId="0" fontId="0" fillId="6" borderId="0" xfId="0" applyFill="1"/>
    <xf numFmtId="4" fontId="0" fillId="6" borderId="0" xfId="0" applyNumberFormat="1" applyFill="1"/>
    <xf numFmtId="4" fontId="2" fillId="6" borderId="0" xfId="0" applyNumberFormat="1" applyFont="1" applyFill="1"/>
    <xf numFmtId="4" fontId="1" fillId="0" borderId="0" xfId="0" applyNumberFormat="1" applyFont="1" applyFill="1"/>
    <xf numFmtId="0" fontId="0" fillId="0" borderId="0" xfId="0" applyFont="1" applyFill="1" applyBorder="1"/>
    <xf numFmtId="10" fontId="2" fillId="0" borderId="0" xfId="0" applyNumberFormat="1" applyFont="1"/>
    <xf numFmtId="0" fontId="0" fillId="7" borderId="0" xfId="0" applyFill="1"/>
    <xf numFmtId="0" fontId="0" fillId="7" borderId="0" xfId="0" applyFont="1" applyFill="1"/>
    <xf numFmtId="0" fontId="1" fillId="7" borderId="0" xfId="0" applyFont="1" applyFill="1"/>
    <xf numFmtId="4" fontId="0" fillId="8" borderId="0" xfId="0" applyNumberFormat="1" applyFill="1"/>
    <xf numFmtId="4" fontId="0" fillId="7" borderId="0" xfId="0" applyNumberFormat="1" applyFill="1"/>
    <xf numFmtId="0" fontId="1" fillId="8" borderId="0" xfId="0" applyFont="1" applyFill="1"/>
    <xf numFmtId="0" fontId="1" fillId="8" borderId="0" xfId="0" applyFont="1" applyFill="1" applyBorder="1"/>
    <xf numFmtId="4" fontId="1" fillId="8" borderId="0" xfId="0" applyNumberFormat="1" applyFont="1" applyFill="1" applyBorder="1"/>
    <xf numFmtId="4" fontId="1" fillId="8" borderId="0" xfId="0" applyNumberFormat="1" applyFont="1" applyFill="1"/>
    <xf numFmtId="0" fontId="0" fillId="8" borderId="0" xfId="0" applyFill="1"/>
    <xf numFmtId="0" fontId="0" fillId="8" borderId="0" xfId="0" applyFill="1" applyBorder="1"/>
    <xf numFmtId="0" fontId="0" fillId="8" borderId="0" xfId="0" applyFont="1" applyFill="1" applyBorder="1"/>
    <xf numFmtId="4" fontId="0" fillId="8" borderId="0" xfId="0" applyNumberFormat="1" applyFill="1" applyBorder="1"/>
    <xf numFmtId="4" fontId="2" fillId="8" borderId="0" xfId="0" applyNumberFormat="1" applyFont="1" applyFill="1"/>
    <xf numFmtId="4" fontId="4" fillId="8" borderId="0" xfId="0" applyNumberFormat="1" applyFont="1" applyFill="1" applyBorder="1"/>
    <xf numFmtId="0" fontId="0" fillId="8" borderId="0" xfId="0" applyFont="1" applyFill="1"/>
    <xf numFmtId="0" fontId="2" fillId="0" borderId="1" xfId="0" applyFont="1" applyFill="1" applyBorder="1"/>
    <xf numFmtId="4" fontId="0" fillId="9" borderId="0" xfId="0" applyNumberFormat="1" applyFill="1"/>
    <xf numFmtId="0" fontId="1" fillId="2" borderId="0" xfId="0" applyFont="1" applyFill="1"/>
    <xf numFmtId="0" fontId="2" fillId="10" borderId="0" xfId="0" applyFont="1" applyFill="1"/>
    <xf numFmtId="0" fontId="2" fillId="11" borderId="1" xfId="0" applyFont="1" applyFill="1" applyBorder="1"/>
    <xf numFmtId="0" fontId="2" fillId="11" borderId="0" xfId="0" applyFont="1" applyFill="1"/>
    <xf numFmtId="4" fontId="2" fillId="11" borderId="0" xfId="0" applyNumberFormat="1" applyFont="1" applyFill="1"/>
    <xf numFmtId="0" fontId="0" fillId="11" borderId="0" xfId="0" applyFill="1"/>
    <xf numFmtId="0" fontId="2" fillId="11" borderId="2" xfId="0" applyFont="1" applyFill="1" applyBorder="1"/>
    <xf numFmtId="4" fontId="2" fillId="11" borderId="2" xfId="0" applyNumberFormat="1" applyFont="1" applyFill="1" applyBorder="1"/>
    <xf numFmtId="4" fontId="1" fillId="12" borderId="0" xfId="0" applyNumberFormat="1" applyFont="1" applyFill="1"/>
    <xf numFmtId="0" fontId="0" fillId="12" borderId="0" xfId="0" applyFill="1"/>
    <xf numFmtId="0" fontId="0" fillId="1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575"/>
  <sheetViews>
    <sheetView view="pageLayout" topLeftCell="A57" zoomScaleNormal="100" workbookViewId="0">
      <selection activeCell="AB64" sqref="AB64"/>
    </sheetView>
  </sheetViews>
  <sheetFormatPr baseColWidth="10" defaultRowHeight="12.75"/>
  <cols>
    <col min="1" max="1" width="6.85546875" style="4" customWidth="1"/>
    <col min="2" max="2" width="52" style="4" customWidth="1"/>
    <col min="3" max="3" width="17.28515625" style="7" hidden="1" customWidth="1"/>
    <col min="4" max="4" width="14.28515625" style="7" hidden="1" customWidth="1"/>
    <col min="5" max="5" width="12.5703125" style="13" hidden="1" customWidth="1"/>
    <col min="6" max="6" width="13.42578125" style="1" hidden="1" customWidth="1"/>
    <col min="7" max="7" width="12.5703125" style="17" hidden="1" customWidth="1"/>
    <col min="8" max="8" width="16" style="1" hidden="1" customWidth="1"/>
    <col min="9" max="9" width="15" hidden="1" customWidth="1"/>
    <col min="10" max="10" width="13.28515625" style="1" hidden="1" customWidth="1"/>
    <col min="11" max="11" width="12.85546875" style="17" hidden="1" customWidth="1"/>
    <col min="12" max="12" width="12.28515625" style="1" hidden="1" customWidth="1"/>
    <col min="13" max="14" width="13.28515625" style="40" hidden="1" customWidth="1"/>
    <col min="15" max="15" width="13.5703125" style="1" hidden="1" customWidth="1"/>
    <col min="16" max="16" width="13.7109375" hidden="1" customWidth="1"/>
    <col min="17" max="17" width="11.7109375" style="1" hidden="1" customWidth="1"/>
    <col min="18" max="18" width="12.7109375" style="40" hidden="1" customWidth="1"/>
    <col min="19" max="19" width="12.7109375" style="1" hidden="1" customWidth="1"/>
    <col min="20" max="20" width="12.7109375" style="41" bestFit="1" customWidth="1"/>
    <col min="21" max="21" width="12.7109375" style="1" bestFit="1" customWidth="1"/>
    <col min="22" max="22" width="13.5703125" style="40" customWidth="1"/>
  </cols>
  <sheetData>
    <row r="1" spans="1:22" s="2" customFormat="1">
      <c r="A1" s="5" t="s">
        <v>60</v>
      </c>
      <c r="B1" s="5" t="s">
        <v>592</v>
      </c>
      <c r="C1" s="8" t="s">
        <v>62</v>
      </c>
      <c r="D1" s="8" t="s">
        <v>54</v>
      </c>
      <c r="E1" s="9" t="s">
        <v>63</v>
      </c>
      <c r="F1" s="3" t="s">
        <v>54</v>
      </c>
      <c r="G1" s="2" t="s">
        <v>597</v>
      </c>
      <c r="H1" s="3" t="s">
        <v>626</v>
      </c>
      <c r="I1" s="2" t="s">
        <v>629</v>
      </c>
      <c r="J1" s="3" t="s">
        <v>54</v>
      </c>
      <c r="K1" s="2" t="s">
        <v>658</v>
      </c>
      <c r="L1" s="3" t="s">
        <v>54</v>
      </c>
      <c r="M1" s="2" t="s">
        <v>675</v>
      </c>
      <c r="O1" s="3" t="s">
        <v>54</v>
      </c>
      <c r="P1" s="2" t="s">
        <v>719</v>
      </c>
      <c r="Q1" s="3" t="s">
        <v>626</v>
      </c>
      <c r="R1" s="2" t="s">
        <v>815</v>
      </c>
      <c r="S1" s="3" t="s">
        <v>778</v>
      </c>
      <c r="T1" s="3" t="s">
        <v>824</v>
      </c>
      <c r="U1" s="3" t="s">
        <v>778</v>
      </c>
      <c r="V1" s="2" t="s">
        <v>908</v>
      </c>
    </row>
    <row r="2" spans="1:22" s="2" customFormat="1">
      <c r="A2" s="4">
        <v>11200</v>
      </c>
      <c r="B2" s="4" t="s">
        <v>539</v>
      </c>
      <c r="C2" s="7">
        <v>85840</v>
      </c>
      <c r="D2" s="10">
        <f>85178.57-C2</f>
        <v>-661.42999999999302</v>
      </c>
      <c r="E2" s="10">
        <f t="shared" ref="E2:E7" si="0">C2+D2</f>
        <v>85178.57</v>
      </c>
      <c r="F2" s="3"/>
      <c r="G2" s="16">
        <f>E2+F2</f>
        <v>85178.57</v>
      </c>
      <c r="H2" s="16">
        <v>0</v>
      </c>
      <c r="I2" s="16">
        <f t="shared" ref="I2:I7" si="1">G2+H2</f>
        <v>85178.57</v>
      </c>
      <c r="J2" s="16">
        <f>127332.84-I2</f>
        <v>42154.26999999999</v>
      </c>
      <c r="K2" s="16">
        <f t="shared" ref="K2:K7" si="2">I2+J2</f>
        <v>127332.84</v>
      </c>
      <c r="L2" s="41">
        <f>128459-K2-6658</f>
        <v>-5531.8399999999965</v>
      </c>
      <c r="M2" s="41">
        <f>K2+L2</f>
        <v>121801</v>
      </c>
      <c r="N2" s="41">
        <v>128734</v>
      </c>
      <c r="O2" s="1">
        <f t="shared" ref="O2:O4" si="3">N2-M2</f>
        <v>6933</v>
      </c>
      <c r="P2" s="41">
        <f>M2+O2</f>
        <v>128734</v>
      </c>
      <c r="Q2" s="41">
        <f>129452.48-P2</f>
        <v>718.47999999999593</v>
      </c>
      <c r="R2" s="41">
        <f>P2+Q2</f>
        <v>129452.48</v>
      </c>
      <c r="S2" s="41">
        <f>129488.56-R2</f>
        <v>36.080000000001746</v>
      </c>
      <c r="T2" s="41">
        <f>R2+S2</f>
        <v>129488.56</v>
      </c>
      <c r="U2" s="41">
        <f>129564.47-T2</f>
        <v>75.910000000003492</v>
      </c>
      <c r="V2" s="41">
        <f>T2+U2</f>
        <v>129564.47</v>
      </c>
    </row>
    <row r="3" spans="1:22">
      <c r="A3" s="4">
        <v>11300</v>
      </c>
      <c r="B3" s="4" t="s">
        <v>540</v>
      </c>
      <c r="C3" s="7">
        <v>0</v>
      </c>
      <c r="D3" s="7">
        <v>15700000</v>
      </c>
      <c r="E3" s="10">
        <f t="shared" si="0"/>
        <v>15700000</v>
      </c>
      <c r="G3" s="16">
        <f t="shared" ref="G3:G32" si="4">E3+F3</f>
        <v>15700000</v>
      </c>
      <c r="H3" s="1">
        <v>4200000</v>
      </c>
      <c r="I3" s="16">
        <f t="shared" si="1"/>
        <v>19900000</v>
      </c>
      <c r="J3" s="1">
        <f>18540000+900000-I3</f>
        <v>-460000</v>
      </c>
      <c r="K3" s="16">
        <f t="shared" si="2"/>
        <v>19440000</v>
      </c>
      <c r="L3" s="1">
        <v>-364000</v>
      </c>
      <c r="M3" s="41">
        <f t="shared" ref="M3:M70" si="5">K3+L3</f>
        <v>19076000</v>
      </c>
      <c r="N3" s="41">
        <f>18657654+1200000+180000</f>
        <v>20037654</v>
      </c>
      <c r="O3" s="1">
        <f t="shared" si="3"/>
        <v>961654</v>
      </c>
      <c r="P3" s="41">
        <f t="shared" ref="P3:P71" si="6">M3+O3</f>
        <v>20037654</v>
      </c>
      <c r="Q3" s="1">
        <f>19894999.31+950000-P3</f>
        <v>807345.30999999866</v>
      </c>
      <c r="R3" s="41">
        <f t="shared" ref="R3:R7" si="7">P3+Q3</f>
        <v>20844999.309999999</v>
      </c>
      <c r="S3" s="1">
        <f>21400000-R3+420000</f>
        <v>975000.69000000134</v>
      </c>
      <c r="T3" s="41">
        <f t="shared" ref="T3:T69" si="8">R3+S3</f>
        <v>21820000</v>
      </c>
      <c r="U3" s="1">
        <v>-120000</v>
      </c>
      <c r="V3" s="41">
        <f t="shared" ref="V3:V66" si="9">T3+U3</f>
        <v>21700000</v>
      </c>
    </row>
    <row r="4" spans="1:22">
      <c r="A4" s="4">
        <v>11400</v>
      </c>
      <c r="B4" s="4" t="s">
        <v>541</v>
      </c>
      <c r="C4" s="7">
        <v>0</v>
      </c>
      <c r="D4" s="7">
        <v>10261.1</v>
      </c>
      <c r="E4" s="10">
        <f t="shared" si="0"/>
        <v>10261.1</v>
      </c>
      <c r="G4" s="16">
        <f t="shared" si="4"/>
        <v>10261.1</v>
      </c>
      <c r="H4" s="1">
        <v>0</v>
      </c>
      <c r="I4" s="16">
        <f t="shared" si="1"/>
        <v>10261.1</v>
      </c>
      <c r="J4" s="1">
        <f>10185.75-I4</f>
        <v>-75.350000000000364</v>
      </c>
      <c r="K4" s="16">
        <f t="shared" si="2"/>
        <v>10185.75</v>
      </c>
      <c r="L4" s="1">
        <v>0</v>
      </c>
      <c r="M4" s="41">
        <f t="shared" si="5"/>
        <v>10185.75</v>
      </c>
      <c r="N4" s="41">
        <v>10185.75</v>
      </c>
      <c r="O4" s="1">
        <f t="shared" si="3"/>
        <v>0</v>
      </c>
      <c r="P4" s="41">
        <f t="shared" si="6"/>
        <v>10185.75</v>
      </c>
      <c r="Q4" s="1">
        <v>0</v>
      </c>
      <c r="R4" s="41">
        <f t="shared" si="7"/>
        <v>10185.75</v>
      </c>
      <c r="S4" s="1">
        <f>15578.21-R4</f>
        <v>5392.4599999999991</v>
      </c>
      <c r="T4" s="41">
        <f t="shared" si="8"/>
        <v>15578.21</v>
      </c>
      <c r="U4" s="1">
        <f>15578.21-T4</f>
        <v>0</v>
      </c>
      <c r="V4" s="41">
        <f t="shared" si="9"/>
        <v>15578.21</v>
      </c>
    </row>
    <row r="5" spans="1:22">
      <c r="A5" s="4">
        <v>11500</v>
      </c>
      <c r="B5" s="4" t="s">
        <v>542</v>
      </c>
      <c r="C5" s="7">
        <v>0</v>
      </c>
      <c r="D5" s="7">
        <v>2550000</v>
      </c>
      <c r="E5" s="10">
        <f t="shared" si="0"/>
        <v>2550000</v>
      </c>
      <c r="F5" s="10">
        <v>-30000</v>
      </c>
      <c r="G5" s="16">
        <f t="shared" si="4"/>
        <v>2520000</v>
      </c>
      <c r="H5" s="16">
        <v>39000</v>
      </c>
      <c r="I5" s="16">
        <f t="shared" si="1"/>
        <v>2559000</v>
      </c>
      <c r="J5" s="1">
        <f>2356000+100000-I5</f>
        <v>-103000</v>
      </c>
      <c r="K5" s="16">
        <f t="shared" si="2"/>
        <v>2456000</v>
      </c>
      <c r="L5" s="1">
        <v>-150000</v>
      </c>
      <c r="M5" s="41">
        <f t="shared" si="5"/>
        <v>2306000</v>
      </c>
      <c r="N5" s="41">
        <v>2403000</v>
      </c>
      <c r="O5" s="1">
        <f>N5-M5</f>
        <v>97000</v>
      </c>
      <c r="P5" s="41">
        <f t="shared" si="6"/>
        <v>2403000</v>
      </c>
      <c r="Q5" s="1">
        <f>2303110.84+85000-P5</f>
        <v>-14889.160000000149</v>
      </c>
      <c r="R5" s="41">
        <f t="shared" si="7"/>
        <v>2388110.84</v>
      </c>
      <c r="S5" s="1">
        <f>2321236+80000-R5</f>
        <v>13125.160000000149</v>
      </c>
      <c r="T5" s="41">
        <f t="shared" si="8"/>
        <v>2401236</v>
      </c>
      <c r="U5" s="1">
        <f>2340000-T5</f>
        <v>-61236</v>
      </c>
      <c r="V5" s="41">
        <f t="shared" si="9"/>
        <v>2340000</v>
      </c>
    </row>
    <row r="6" spans="1:22">
      <c r="A6" s="4">
        <v>11600</v>
      </c>
      <c r="B6" s="4" t="s">
        <v>543</v>
      </c>
      <c r="C6" s="7">
        <v>0</v>
      </c>
      <c r="D6" s="7">
        <v>1300000</v>
      </c>
      <c r="E6" s="10">
        <f t="shared" si="0"/>
        <v>1300000</v>
      </c>
      <c r="F6" s="10">
        <v>-400000</v>
      </c>
      <c r="G6" s="16">
        <f t="shared" si="4"/>
        <v>900000</v>
      </c>
      <c r="H6" s="16">
        <v>50000</v>
      </c>
      <c r="I6" s="16">
        <f t="shared" si="1"/>
        <v>950000</v>
      </c>
      <c r="J6" s="1">
        <v>-60000</v>
      </c>
      <c r="K6" s="16">
        <f t="shared" si="2"/>
        <v>890000</v>
      </c>
      <c r="L6" s="1">
        <v>320000</v>
      </c>
      <c r="M6" s="41">
        <f t="shared" si="5"/>
        <v>1210000</v>
      </c>
      <c r="N6" s="41">
        <v>1300000</v>
      </c>
      <c r="O6" s="1">
        <f>N6-M6</f>
        <v>90000</v>
      </c>
      <c r="P6" s="41">
        <f t="shared" si="6"/>
        <v>1300000</v>
      </c>
      <c r="Q6" s="1">
        <v>280000</v>
      </c>
      <c r="R6" s="41">
        <f t="shared" si="7"/>
        <v>1580000</v>
      </c>
      <c r="S6" s="1">
        <f>1700000-R6+30000</f>
        <v>150000</v>
      </c>
      <c r="T6" s="41">
        <f t="shared" si="8"/>
        <v>1730000</v>
      </c>
      <c r="U6" s="1">
        <v>-450000</v>
      </c>
      <c r="V6" s="41">
        <f t="shared" si="9"/>
        <v>1280000</v>
      </c>
    </row>
    <row r="7" spans="1:22">
      <c r="A7" s="4">
        <v>13000</v>
      </c>
      <c r="B7" s="4" t="s">
        <v>544</v>
      </c>
      <c r="C7" s="7">
        <v>1000000</v>
      </c>
      <c r="E7" s="10">
        <f t="shared" si="0"/>
        <v>1000000</v>
      </c>
      <c r="F7" s="1">
        <v>100000</v>
      </c>
      <c r="G7" s="16">
        <f t="shared" si="4"/>
        <v>1100000</v>
      </c>
      <c r="H7" s="1">
        <v>-160000</v>
      </c>
      <c r="I7" s="16">
        <f t="shared" si="1"/>
        <v>940000</v>
      </c>
      <c r="J7" s="1">
        <f>852000-I7</f>
        <v>-88000</v>
      </c>
      <c r="K7" s="16">
        <f t="shared" si="2"/>
        <v>852000</v>
      </c>
      <c r="L7" s="1">
        <v>-96400</v>
      </c>
      <c r="M7" s="41">
        <f t="shared" si="5"/>
        <v>755600</v>
      </c>
      <c r="N7" s="41">
        <v>735000</v>
      </c>
      <c r="O7" s="1">
        <f>N7-M7</f>
        <v>-20600</v>
      </c>
      <c r="P7" s="41">
        <f t="shared" si="6"/>
        <v>735000</v>
      </c>
      <c r="Q7" s="1">
        <v>0</v>
      </c>
      <c r="R7" s="41">
        <f t="shared" si="7"/>
        <v>735000</v>
      </c>
      <c r="S7" s="41">
        <f>720000-R7</f>
        <v>-15000</v>
      </c>
      <c r="T7" s="41">
        <f t="shared" si="8"/>
        <v>720000</v>
      </c>
      <c r="U7" s="1">
        <f>775000-T7</f>
        <v>55000</v>
      </c>
      <c r="V7" s="41">
        <f t="shared" si="9"/>
        <v>775000</v>
      </c>
    </row>
    <row r="8" spans="1:22" s="2" customFormat="1">
      <c r="A8" s="5"/>
      <c r="B8" s="5" t="s">
        <v>64</v>
      </c>
      <c r="C8" s="8">
        <f t="shared" ref="C8:I8" si="10">SUM(C2:C7)</f>
        <v>1085840</v>
      </c>
      <c r="D8" s="8">
        <f t="shared" si="10"/>
        <v>19559599.670000002</v>
      </c>
      <c r="E8" s="8">
        <f t="shared" si="10"/>
        <v>20645439.670000002</v>
      </c>
      <c r="F8" s="8">
        <f t="shared" si="10"/>
        <v>-330000</v>
      </c>
      <c r="G8" s="8">
        <f t="shared" si="10"/>
        <v>20315439.670000002</v>
      </c>
      <c r="H8" s="8">
        <f t="shared" si="10"/>
        <v>4129000</v>
      </c>
      <c r="I8" s="8">
        <f t="shared" si="10"/>
        <v>24444439.670000002</v>
      </c>
      <c r="J8" s="8">
        <f>SUM(J2:J7)</f>
        <v>-668921.07999999996</v>
      </c>
      <c r="K8" s="8">
        <f>SUM(K2:K7)</f>
        <v>23775518.59</v>
      </c>
      <c r="L8" s="8">
        <f>SUM(L2:L7)</f>
        <v>-295931.83999999997</v>
      </c>
      <c r="M8" s="8">
        <f>SUM(M2:M7)</f>
        <v>23479586.75</v>
      </c>
      <c r="N8" s="8"/>
      <c r="O8" s="3"/>
      <c r="P8" s="8">
        <f>SUM(P2:P7)</f>
        <v>24614573.75</v>
      </c>
      <c r="Q8" s="8">
        <f t="shared" ref="Q8:V8" si="11">SUM(Q2:Q7)</f>
        <v>1073174.6299999985</v>
      </c>
      <c r="R8" s="8">
        <f t="shared" si="11"/>
        <v>25687748.379999999</v>
      </c>
      <c r="S8" s="8">
        <f t="shared" si="11"/>
        <v>1128554.3900000015</v>
      </c>
      <c r="T8" s="8">
        <f t="shared" si="11"/>
        <v>26816302.77</v>
      </c>
      <c r="U8" s="8">
        <f t="shared" si="11"/>
        <v>-576160.09</v>
      </c>
      <c r="V8" s="8">
        <f t="shared" si="11"/>
        <v>26240142.68</v>
      </c>
    </row>
    <row r="9" spans="1:22">
      <c r="A9" s="4">
        <v>29000</v>
      </c>
      <c r="B9" s="4" t="s">
        <v>545</v>
      </c>
      <c r="C9" s="7">
        <v>0</v>
      </c>
      <c r="D9" s="7">
        <v>1200000</v>
      </c>
      <c r="E9" s="10">
        <f>C9+D9</f>
        <v>1200000</v>
      </c>
      <c r="F9" s="10">
        <v>-200000</v>
      </c>
      <c r="G9" s="16">
        <f t="shared" si="4"/>
        <v>1000000</v>
      </c>
      <c r="H9" s="1">
        <v>200000</v>
      </c>
      <c r="I9" s="16">
        <f>G9+H9</f>
        <v>1200000</v>
      </c>
      <c r="J9" s="1">
        <v>-700000</v>
      </c>
      <c r="K9" s="16">
        <f>I9+J9</f>
        <v>500000</v>
      </c>
      <c r="L9" s="1">
        <v>-150000</v>
      </c>
      <c r="M9" s="41">
        <f t="shared" si="5"/>
        <v>350000</v>
      </c>
      <c r="N9" s="41">
        <v>380000</v>
      </c>
      <c r="O9" s="1">
        <f>N9-M9</f>
        <v>30000</v>
      </c>
      <c r="P9" s="41">
        <f t="shared" si="6"/>
        <v>380000</v>
      </c>
      <c r="Q9" s="1">
        <v>150000</v>
      </c>
      <c r="R9" s="41">
        <f>P9+Q9</f>
        <v>530000</v>
      </c>
      <c r="S9" s="1">
        <v>75000</v>
      </c>
      <c r="T9" s="41">
        <f t="shared" si="8"/>
        <v>605000</v>
      </c>
      <c r="U9" s="1">
        <v>295000</v>
      </c>
      <c r="V9" s="41">
        <f t="shared" si="9"/>
        <v>900000</v>
      </c>
    </row>
    <row r="10" spans="1:22" s="9" customFormat="1">
      <c r="A10" s="5"/>
      <c r="B10" s="5" t="s">
        <v>65</v>
      </c>
      <c r="C10" s="8">
        <f t="shared" ref="C10:I10" si="12">SUM(C9:C9)</f>
        <v>0</v>
      </c>
      <c r="D10" s="8">
        <f t="shared" si="12"/>
        <v>1200000</v>
      </c>
      <c r="E10" s="8">
        <f t="shared" si="12"/>
        <v>1200000</v>
      </c>
      <c r="F10" s="8">
        <f t="shared" si="12"/>
        <v>-200000</v>
      </c>
      <c r="G10" s="8">
        <f t="shared" si="12"/>
        <v>1000000</v>
      </c>
      <c r="H10" s="8">
        <f t="shared" si="12"/>
        <v>200000</v>
      </c>
      <c r="I10" s="8">
        <f t="shared" si="12"/>
        <v>1200000</v>
      </c>
      <c r="J10" s="8">
        <f>SUM(J9:J9)</f>
        <v>-700000</v>
      </c>
      <c r="K10" s="8">
        <f>SUM(K9:K9)</f>
        <v>500000</v>
      </c>
      <c r="L10" s="8">
        <f>SUM(L9:L9)</f>
        <v>-150000</v>
      </c>
      <c r="M10" s="8">
        <f>SUM(M9:M9)</f>
        <v>350000</v>
      </c>
      <c r="N10" s="8"/>
      <c r="O10" s="8"/>
      <c r="P10" s="8">
        <f>SUM(P9:P9)</f>
        <v>380000</v>
      </c>
      <c r="Q10" s="8">
        <f t="shared" ref="Q10:V10" si="13">SUM(Q9:Q9)</f>
        <v>150000</v>
      </c>
      <c r="R10" s="8">
        <f t="shared" si="13"/>
        <v>530000</v>
      </c>
      <c r="S10" s="8">
        <f t="shared" si="13"/>
        <v>75000</v>
      </c>
      <c r="T10" s="8">
        <f t="shared" si="13"/>
        <v>605000</v>
      </c>
      <c r="U10" s="8">
        <f t="shared" si="13"/>
        <v>295000</v>
      </c>
      <c r="V10" s="8">
        <f t="shared" si="13"/>
        <v>900000</v>
      </c>
    </row>
    <row r="11" spans="1:22" s="2" customFormat="1">
      <c r="A11" s="4">
        <v>30300</v>
      </c>
      <c r="B11" s="43" t="s">
        <v>713</v>
      </c>
      <c r="C11" s="7">
        <v>0</v>
      </c>
      <c r="D11" s="7">
        <v>5227000</v>
      </c>
      <c r="E11" s="10">
        <f t="shared" ref="E11:E42" si="14">C11+D11</f>
        <v>5227000</v>
      </c>
      <c r="F11" s="16">
        <v>300000</v>
      </c>
      <c r="G11" s="16">
        <f t="shared" si="4"/>
        <v>5527000</v>
      </c>
      <c r="H11" s="16">
        <v>800000</v>
      </c>
      <c r="I11" s="16">
        <f t="shared" ref="I11:I63" si="15">G11+H11</f>
        <v>6327000</v>
      </c>
      <c r="J11" s="16">
        <v>248000</v>
      </c>
      <c r="K11" s="16">
        <f t="shared" ref="K11:K63" si="16">I11+J11</f>
        <v>6575000</v>
      </c>
      <c r="L11" s="41">
        <v>-60000</v>
      </c>
      <c r="M11" s="41">
        <f t="shared" si="5"/>
        <v>6515000</v>
      </c>
      <c r="N11" s="41">
        <v>6515000</v>
      </c>
      <c r="O11" s="1">
        <f t="shared" ref="O11:O82" si="17">N11-M11</f>
        <v>0</v>
      </c>
      <c r="P11" s="41">
        <f t="shared" si="6"/>
        <v>6515000</v>
      </c>
      <c r="Q11" s="41">
        <f>6440161+80000-P11-6409.29</f>
        <v>-1248.29</v>
      </c>
      <c r="R11" s="41">
        <f t="shared" ref="R11:R64" si="18">P11+Q11</f>
        <v>6513751.71</v>
      </c>
      <c r="S11" s="41">
        <f>6900000-R11</f>
        <v>386248.29000000004</v>
      </c>
      <c r="T11" s="41">
        <f t="shared" si="8"/>
        <v>6900000</v>
      </c>
      <c r="U11" s="41">
        <f>6700000-T11</f>
        <v>-200000</v>
      </c>
      <c r="V11" s="41">
        <f t="shared" si="9"/>
        <v>6700000</v>
      </c>
    </row>
    <row r="12" spans="1:22" s="2" customFormat="1">
      <c r="A12" s="4">
        <v>30900</v>
      </c>
      <c r="B12" s="4" t="s">
        <v>549</v>
      </c>
      <c r="C12" s="7">
        <v>0</v>
      </c>
      <c r="D12" s="7">
        <v>115000</v>
      </c>
      <c r="E12" s="10">
        <f t="shared" si="14"/>
        <v>115000</v>
      </c>
      <c r="F12" s="16">
        <v>-20000</v>
      </c>
      <c r="G12" s="16">
        <f t="shared" si="4"/>
        <v>95000</v>
      </c>
      <c r="H12" s="16">
        <v>20000</v>
      </c>
      <c r="I12" s="16">
        <f t="shared" si="15"/>
        <v>115000</v>
      </c>
      <c r="J12" s="3"/>
      <c r="K12" s="16">
        <f t="shared" si="16"/>
        <v>115000</v>
      </c>
      <c r="L12" s="3"/>
      <c r="M12" s="41">
        <f t="shared" si="5"/>
        <v>115000</v>
      </c>
      <c r="N12" s="41">
        <v>109000</v>
      </c>
      <c r="O12" s="1">
        <f t="shared" si="17"/>
        <v>-6000</v>
      </c>
      <c r="P12" s="41">
        <f t="shared" si="6"/>
        <v>109000</v>
      </c>
      <c r="Q12" s="41">
        <v>0</v>
      </c>
      <c r="R12" s="41">
        <f t="shared" si="18"/>
        <v>109000</v>
      </c>
      <c r="S12" s="41">
        <f>104000-R12</f>
        <v>-5000</v>
      </c>
      <c r="T12" s="41">
        <f t="shared" si="8"/>
        <v>104000</v>
      </c>
      <c r="U12" s="41">
        <f>114000-T12</f>
        <v>10000</v>
      </c>
      <c r="V12" s="41">
        <f t="shared" si="9"/>
        <v>114000</v>
      </c>
    </row>
    <row r="13" spans="1:22" s="2" customFormat="1">
      <c r="A13" s="4">
        <v>30901</v>
      </c>
      <c r="B13" s="4" t="s">
        <v>561</v>
      </c>
      <c r="C13" s="7">
        <v>0</v>
      </c>
      <c r="D13" s="7">
        <f>110000-C13</f>
        <v>110000</v>
      </c>
      <c r="E13" s="10">
        <f t="shared" si="14"/>
        <v>110000</v>
      </c>
      <c r="F13" s="3"/>
      <c r="G13" s="16">
        <f t="shared" si="4"/>
        <v>110000</v>
      </c>
      <c r="H13" s="16">
        <v>10000</v>
      </c>
      <c r="I13" s="16">
        <f t="shared" si="15"/>
        <v>120000</v>
      </c>
      <c r="J13" s="3"/>
      <c r="K13" s="16">
        <f t="shared" si="16"/>
        <v>120000</v>
      </c>
      <c r="L13" s="3"/>
      <c r="M13" s="41">
        <f t="shared" si="5"/>
        <v>120000</v>
      </c>
      <c r="N13" s="41">
        <v>127000</v>
      </c>
      <c r="O13" s="1">
        <f t="shared" si="17"/>
        <v>7000</v>
      </c>
      <c r="P13" s="41">
        <f t="shared" si="6"/>
        <v>127000</v>
      </c>
      <c r="Q13" s="41">
        <v>0</v>
      </c>
      <c r="R13" s="41">
        <f t="shared" si="18"/>
        <v>127000</v>
      </c>
      <c r="S13" s="41">
        <v>-20000</v>
      </c>
      <c r="T13" s="41">
        <f t="shared" si="8"/>
        <v>107000</v>
      </c>
      <c r="U13" s="41">
        <f>113000-T13</f>
        <v>6000</v>
      </c>
      <c r="V13" s="41">
        <f t="shared" si="9"/>
        <v>113000</v>
      </c>
    </row>
    <row r="14" spans="1:22">
      <c r="A14" s="4">
        <v>31100</v>
      </c>
      <c r="B14" s="4" t="s">
        <v>552</v>
      </c>
      <c r="C14" s="7">
        <v>0</v>
      </c>
      <c r="D14" s="7">
        <v>666000</v>
      </c>
      <c r="E14" s="10">
        <f t="shared" si="14"/>
        <v>666000</v>
      </c>
      <c r="F14" s="1">
        <v>-20000</v>
      </c>
      <c r="G14" s="16">
        <f t="shared" si="4"/>
        <v>646000</v>
      </c>
      <c r="I14" s="16">
        <f t="shared" si="15"/>
        <v>646000</v>
      </c>
      <c r="K14" s="16">
        <f t="shared" si="16"/>
        <v>646000</v>
      </c>
      <c r="L14" s="1">
        <v>14000</v>
      </c>
      <c r="M14" s="41">
        <f t="shared" si="5"/>
        <v>660000</v>
      </c>
      <c r="N14" s="41">
        <v>700000</v>
      </c>
      <c r="O14" s="1">
        <f t="shared" si="17"/>
        <v>40000</v>
      </c>
      <c r="P14" s="41">
        <f t="shared" si="6"/>
        <v>700000</v>
      </c>
      <c r="Q14" s="41">
        <f>460000-P14</f>
        <v>-240000</v>
      </c>
      <c r="R14" s="41">
        <f t="shared" si="18"/>
        <v>460000</v>
      </c>
      <c r="S14" s="41">
        <v>-50000</v>
      </c>
      <c r="T14" s="41">
        <f t="shared" si="8"/>
        <v>410000</v>
      </c>
      <c r="U14" s="1">
        <f>325000-T14</f>
        <v>-85000</v>
      </c>
      <c r="V14" s="41">
        <f t="shared" si="9"/>
        <v>325000</v>
      </c>
    </row>
    <row r="15" spans="1:22" s="2" customFormat="1">
      <c r="A15" s="4">
        <v>31101</v>
      </c>
      <c r="B15" s="4" t="s">
        <v>559</v>
      </c>
      <c r="C15" s="7">
        <v>0</v>
      </c>
      <c r="D15" s="7">
        <f>130000-C15</f>
        <v>130000</v>
      </c>
      <c r="E15" s="10">
        <f t="shared" si="14"/>
        <v>130000</v>
      </c>
      <c r="F15" s="16">
        <v>-20000</v>
      </c>
      <c r="G15" s="16">
        <f t="shared" si="4"/>
        <v>110000</v>
      </c>
      <c r="H15" s="3"/>
      <c r="I15" s="16">
        <f t="shared" si="15"/>
        <v>110000</v>
      </c>
      <c r="J15" s="3"/>
      <c r="K15" s="16">
        <f t="shared" si="16"/>
        <v>110000</v>
      </c>
      <c r="L15" s="41">
        <v>-4000</v>
      </c>
      <c r="M15" s="41">
        <f t="shared" si="5"/>
        <v>106000</v>
      </c>
      <c r="N15" s="41">
        <v>75000</v>
      </c>
      <c r="O15" s="1">
        <f t="shared" si="17"/>
        <v>-31000</v>
      </c>
      <c r="P15" s="41">
        <f t="shared" si="6"/>
        <v>75000</v>
      </c>
      <c r="Q15" s="41">
        <f>45000-P15</f>
        <v>-30000</v>
      </c>
      <c r="R15" s="41">
        <f t="shared" si="18"/>
        <v>45000</v>
      </c>
      <c r="S15" s="41">
        <v>0</v>
      </c>
      <c r="T15" s="41">
        <f t="shared" si="8"/>
        <v>45000</v>
      </c>
      <c r="U15" s="41">
        <f>35000-T15</f>
        <v>-10000</v>
      </c>
      <c r="V15" s="41">
        <f t="shared" si="9"/>
        <v>35000</v>
      </c>
    </row>
    <row r="16" spans="1:22">
      <c r="A16" s="4">
        <v>31200</v>
      </c>
      <c r="B16" s="4" t="s">
        <v>536</v>
      </c>
      <c r="C16" s="7">
        <v>0</v>
      </c>
      <c r="D16" s="7">
        <v>156000</v>
      </c>
      <c r="E16" s="10">
        <f t="shared" si="14"/>
        <v>156000</v>
      </c>
      <c r="F16" s="1">
        <v>-60000</v>
      </c>
      <c r="G16" s="16">
        <f t="shared" si="4"/>
        <v>96000</v>
      </c>
      <c r="H16" s="1">
        <v>4000</v>
      </c>
      <c r="I16" s="16">
        <f t="shared" si="15"/>
        <v>100000</v>
      </c>
      <c r="J16" s="1">
        <v>20000</v>
      </c>
      <c r="K16" s="16">
        <f t="shared" si="16"/>
        <v>120000</v>
      </c>
      <c r="M16" s="41">
        <f t="shared" si="5"/>
        <v>120000</v>
      </c>
      <c r="N16" s="41">
        <v>48000</v>
      </c>
      <c r="O16" s="1">
        <f t="shared" si="17"/>
        <v>-72000</v>
      </c>
      <c r="P16" s="41">
        <f t="shared" si="6"/>
        <v>48000</v>
      </c>
      <c r="Q16" s="1">
        <f>70000-P16</f>
        <v>22000</v>
      </c>
      <c r="R16" s="41">
        <f t="shared" si="18"/>
        <v>70000</v>
      </c>
      <c r="S16" s="41">
        <v>0</v>
      </c>
      <c r="T16" s="41">
        <f t="shared" si="8"/>
        <v>70000</v>
      </c>
      <c r="U16" s="1">
        <f>55000-T16</f>
        <v>-15000</v>
      </c>
      <c r="V16" s="41">
        <f t="shared" si="9"/>
        <v>55000</v>
      </c>
    </row>
    <row r="17" spans="1:22">
      <c r="A17" s="4">
        <v>31300</v>
      </c>
      <c r="B17" s="4" t="s">
        <v>550</v>
      </c>
      <c r="C17" s="7">
        <v>0</v>
      </c>
      <c r="D17" s="7">
        <v>145000</v>
      </c>
      <c r="E17" s="10">
        <f t="shared" si="14"/>
        <v>145000</v>
      </c>
      <c r="G17" s="16">
        <f t="shared" si="4"/>
        <v>145000</v>
      </c>
      <c r="I17" s="16">
        <f t="shared" si="15"/>
        <v>145000</v>
      </c>
      <c r="K17" s="16">
        <f t="shared" si="16"/>
        <v>145000</v>
      </c>
      <c r="M17" s="41">
        <f t="shared" si="5"/>
        <v>145000</v>
      </c>
      <c r="N17" s="41">
        <v>31250</v>
      </c>
      <c r="O17" s="1">
        <f t="shared" si="17"/>
        <v>-113750</v>
      </c>
      <c r="P17" s="41">
        <f t="shared" si="6"/>
        <v>31250</v>
      </c>
      <c r="Q17" s="1">
        <f>21000-P17</f>
        <v>-10250</v>
      </c>
      <c r="R17" s="41">
        <f t="shared" si="18"/>
        <v>21000</v>
      </c>
      <c r="S17" s="41">
        <v>0</v>
      </c>
      <c r="T17" s="41">
        <f t="shared" si="8"/>
        <v>21000</v>
      </c>
      <c r="U17" s="1">
        <f>23000-T17</f>
        <v>2000</v>
      </c>
      <c r="V17" s="41">
        <f t="shared" si="9"/>
        <v>23000</v>
      </c>
    </row>
    <row r="18" spans="1:22">
      <c r="A18" s="4">
        <v>32100</v>
      </c>
      <c r="B18" s="4" t="s">
        <v>563</v>
      </c>
      <c r="C18" s="7">
        <v>0</v>
      </c>
      <c r="D18" s="7">
        <v>750000</v>
      </c>
      <c r="E18" s="10">
        <f t="shared" si="14"/>
        <v>750000</v>
      </c>
      <c r="F18" s="1">
        <v>-20000</v>
      </c>
      <c r="G18" s="16">
        <f t="shared" si="4"/>
        <v>730000</v>
      </c>
      <c r="H18" s="1">
        <v>-80000</v>
      </c>
      <c r="I18" s="16">
        <f t="shared" si="15"/>
        <v>650000</v>
      </c>
      <c r="J18" s="1">
        <v>-150000</v>
      </c>
      <c r="K18" s="16">
        <f t="shared" si="16"/>
        <v>500000</v>
      </c>
      <c r="L18" s="1">
        <v>-50000</v>
      </c>
      <c r="M18" s="41">
        <f t="shared" si="5"/>
        <v>450000</v>
      </c>
      <c r="N18" s="41">
        <v>450000</v>
      </c>
      <c r="O18" s="1">
        <f t="shared" si="17"/>
        <v>0</v>
      </c>
      <c r="P18" s="41">
        <f t="shared" si="6"/>
        <v>450000</v>
      </c>
      <c r="Q18" s="1">
        <v>250000</v>
      </c>
      <c r="R18" s="41">
        <f t="shared" si="18"/>
        <v>700000</v>
      </c>
      <c r="S18" s="41">
        <f>600000-R18</f>
        <v>-100000</v>
      </c>
      <c r="T18" s="41">
        <f t="shared" si="8"/>
        <v>600000</v>
      </c>
      <c r="U18" s="1">
        <v>340000</v>
      </c>
      <c r="V18" s="41">
        <f t="shared" si="9"/>
        <v>940000</v>
      </c>
    </row>
    <row r="19" spans="1:22">
      <c r="A19" s="43">
        <v>32200</v>
      </c>
      <c r="B19" s="43" t="s">
        <v>816</v>
      </c>
      <c r="E19" s="10"/>
      <c r="G19" s="16"/>
      <c r="I19" s="16"/>
      <c r="K19" s="16"/>
      <c r="M19" s="41"/>
      <c r="N19" s="41"/>
      <c r="P19" s="41">
        <v>0</v>
      </c>
      <c r="Q19" s="1">
        <v>80000</v>
      </c>
      <c r="R19" s="41">
        <f t="shared" si="18"/>
        <v>80000</v>
      </c>
      <c r="S19" s="41">
        <v>0</v>
      </c>
      <c r="T19" s="41">
        <f t="shared" si="8"/>
        <v>80000</v>
      </c>
      <c r="U19" s="1">
        <f>50000-T19</f>
        <v>-30000</v>
      </c>
      <c r="V19" s="41">
        <f t="shared" si="9"/>
        <v>50000</v>
      </c>
    </row>
    <row r="20" spans="1:22">
      <c r="A20" s="4">
        <v>32300</v>
      </c>
      <c r="B20" s="43" t="s">
        <v>771</v>
      </c>
      <c r="E20" s="10">
        <v>0</v>
      </c>
      <c r="F20" s="1">
        <v>10000</v>
      </c>
      <c r="G20" s="16">
        <f t="shared" si="4"/>
        <v>10000</v>
      </c>
      <c r="I20" s="16">
        <f t="shared" si="15"/>
        <v>10000</v>
      </c>
      <c r="K20" s="16">
        <f t="shared" si="16"/>
        <v>10000</v>
      </c>
      <c r="L20" s="1">
        <v>-5000</v>
      </c>
      <c r="M20" s="41">
        <f t="shared" si="5"/>
        <v>5000</v>
      </c>
      <c r="N20" s="41">
        <f>5000+1454.31</f>
        <v>6454.3099999999995</v>
      </c>
      <c r="O20" s="1">
        <f t="shared" si="17"/>
        <v>1454.3099999999995</v>
      </c>
      <c r="P20" s="41">
        <f t="shared" si="6"/>
        <v>6454.3099999999995</v>
      </c>
      <c r="Q20" s="1">
        <f>3132.87+4211.54+12742.12</f>
        <v>20086.53</v>
      </c>
      <c r="R20" s="41">
        <f t="shared" si="18"/>
        <v>26540.839999999997</v>
      </c>
      <c r="S20" s="41">
        <f>1000-R20+3581.9+338.03+4800</f>
        <v>-16820.909999999996</v>
      </c>
      <c r="T20" s="41">
        <f t="shared" si="8"/>
        <v>9719.93</v>
      </c>
      <c r="U20" s="1">
        <f>-742.98-418.32</f>
        <v>-1161.3</v>
      </c>
      <c r="V20" s="41">
        <f t="shared" si="9"/>
        <v>8558.630000000001</v>
      </c>
    </row>
    <row r="21" spans="1:22">
      <c r="A21" s="4">
        <v>32500</v>
      </c>
      <c r="B21" s="4" t="s">
        <v>547</v>
      </c>
      <c r="C21" s="7">
        <v>0</v>
      </c>
      <c r="D21" s="7">
        <v>150000</v>
      </c>
      <c r="E21" s="10">
        <f t="shared" si="14"/>
        <v>150000</v>
      </c>
      <c r="F21" s="1">
        <v>-80000</v>
      </c>
      <c r="G21" s="16">
        <f t="shared" si="4"/>
        <v>70000</v>
      </c>
      <c r="I21" s="16">
        <f t="shared" si="15"/>
        <v>70000</v>
      </c>
      <c r="K21" s="16">
        <f t="shared" si="16"/>
        <v>70000</v>
      </c>
      <c r="L21" s="1">
        <v>-15000</v>
      </c>
      <c r="M21" s="41">
        <f t="shared" si="5"/>
        <v>55000</v>
      </c>
      <c r="N21" s="41">
        <v>40000</v>
      </c>
      <c r="O21" s="1">
        <f t="shared" si="17"/>
        <v>-15000</v>
      </c>
      <c r="P21" s="41">
        <f t="shared" si="6"/>
        <v>40000</v>
      </c>
      <c r="Q21" s="1">
        <v>10000</v>
      </c>
      <c r="R21" s="41">
        <f t="shared" si="18"/>
        <v>50000</v>
      </c>
      <c r="S21" s="41">
        <v>0</v>
      </c>
      <c r="T21" s="41">
        <f t="shared" si="8"/>
        <v>50000</v>
      </c>
      <c r="U21" s="1">
        <v>0</v>
      </c>
      <c r="V21" s="41">
        <f t="shared" si="9"/>
        <v>50000</v>
      </c>
    </row>
    <row r="22" spans="1:22">
      <c r="A22" s="43">
        <v>32600</v>
      </c>
      <c r="B22" s="43" t="s">
        <v>823</v>
      </c>
      <c r="E22" s="10"/>
      <c r="G22" s="16"/>
      <c r="I22" s="16"/>
      <c r="K22" s="16"/>
      <c r="M22" s="41"/>
      <c r="N22" s="41"/>
      <c r="P22" s="41">
        <v>0</v>
      </c>
      <c r="Q22" s="1">
        <v>10000</v>
      </c>
      <c r="R22" s="41">
        <f t="shared" si="18"/>
        <v>10000</v>
      </c>
      <c r="S22" s="41">
        <v>0</v>
      </c>
      <c r="T22" s="41">
        <f t="shared" si="8"/>
        <v>10000</v>
      </c>
      <c r="U22" s="1">
        <v>0</v>
      </c>
      <c r="V22" s="41">
        <f t="shared" si="9"/>
        <v>10000</v>
      </c>
    </row>
    <row r="23" spans="1:22">
      <c r="A23" s="4">
        <v>32900</v>
      </c>
      <c r="B23" s="4" t="s">
        <v>548</v>
      </c>
      <c r="C23" s="7">
        <v>0</v>
      </c>
      <c r="D23" s="10">
        <v>2050</v>
      </c>
      <c r="E23" s="10">
        <f t="shared" si="14"/>
        <v>2050</v>
      </c>
      <c r="G23" s="16">
        <f t="shared" si="4"/>
        <v>2050</v>
      </c>
      <c r="I23" s="16">
        <f t="shared" si="15"/>
        <v>2050</v>
      </c>
      <c r="K23" s="16">
        <f t="shared" si="16"/>
        <v>2050</v>
      </c>
      <c r="L23" s="1">
        <v>-1000</v>
      </c>
      <c r="M23" s="41">
        <f t="shared" si="5"/>
        <v>1050</v>
      </c>
      <c r="N23" s="41">
        <v>1000</v>
      </c>
      <c r="O23" s="1">
        <f t="shared" si="17"/>
        <v>-50</v>
      </c>
      <c r="P23" s="41">
        <f t="shared" si="6"/>
        <v>1000</v>
      </c>
      <c r="Q23" s="1">
        <v>0</v>
      </c>
      <c r="R23" s="41">
        <f t="shared" si="18"/>
        <v>1000</v>
      </c>
      <c r="S23" s="41">
        <v>0</v>
      </c>
      <c r="T23" s="41">
        <f t="shared" si="8"/>
        <v>1000</v>
      </c>
      <c r="U23" s="1">
        <f>1000-T23</f>
        <v>0</v>
      </c>
      <c r="V23" s="41">
        <f t="shared" si="9"/>
        <v>1000</v>
      </c>
    </row>
    <row r="24" spans="1:22">
      <c r="A24" s="4">
        <v>32901</v>
      </c>
      <c r="B24" s="4" t="s">
        <v>551</v>
      </c>
      <c r="C24" s="7">
        <v>0</v>
      </c>
      <c r="D24" s="7">
        <v>9800</v>
      </c>
      <c r="E24" s="10">
        <f t="shared" si="14"/>
        <v>9800</v>
      </c>
      <c r="G24" s="16">
        <f t="shared" si="4"/>
        <v>9800</v>
      </c>
      <c r="I24" s="16">
        <f t="shared" si="15"/>
        <v>9800</v>
      </c>
      <c r="K24" s="16">
        <f t="shared" si="16"/>
        <v>9800</v>
      </c>
      <c r="L24" s="1">
        <v>-6800</v>
      </c>
      <c r="M24" s="41">
        <f t="shared" si="5"/>
        <v>3000</v>
      </c>
      <c r="N24" s="41">
        <v>3000</v>
      </c>
      <c r="O24" s="1">
        <f t="shared" si="17"/>
        <v>0</v>
      </c>
      <c r="P24" s="41">
        <f t="shared" si="6"/>
        <v>3000</v>
      </c>
      <c r="Q24" s="1">
        <f>15000-P24</f>
        <v>12000</v>
      </c>
      <c r="R24" s="41">
        <f t="shared" si="18"/>
        <v>15000</v>
      </c>
      <c r="S24" s="41">
        <f>8000-R24</f>
        <v>-7000</v>
      </c>
      <c r="T24" s="41">
        <f t="shared" si="8"/>
        <v>8000</v>
      </c>
      <c r="U24" s="1">
        <f>3000-T24</f>
        <v>-5000</v>
      </c>
      <c r="V24" s="41">
        <f t="shared" si="9"/>
        <v>3000</v>
      </c>
    </row>
    <row r="25" spans="1:22">
      <c r="A25" s="4">
        <v>32902</v>
      </c>
      <c r="B25" s="4" t="s">
        <v>553</v>
      </c>
      <c r="C25" s="7">
        <v>0</v>
      </c>
      <c r="D25" s="7">
        <v>150000</v>
      </c>
      <c r="E25" s="10">
        <f t="shared" si="14"/>
        <v>150000</v>
      </c>
      <c r="G25" s="16">
        <f t="shared" si="4"/>
        <v>150000</v>
      </c>
      <c r="I25" s="16">
        <f t="shared" si="15"/>
        <v>150000</v>
      </c>
      <c r="K25" s="16">
        <f t="shared" si="16"/>
        <v>150000</v>
      </c>
      <c r="L25" s="1">
        <v>40000</v>
      </c>
      <c r="M25" s="41">
        <f t="shared" si="5"/>
        <v>190000</v>
      </c>
      <c r="N25" s="41">
        <v>176000</v>
      </c>
      <c r="O25" s="1">
        <f t="shared" si="17"/>
        <v>-14000</v>
      </c>
      <c r="P25" s="41">
        <f t="shared" si="6"/>
        <v>176000</v>
      </c>
      <c r="Q25" s="1">
        <f>205000-P25</f>
        <v>29000</v>
      </c>
      <c r="R25" s="41">
        <f t="shared" si="18"/>
        <v>205000</v>
      </c>
      <c r="S25" s="41">
        <f>270000-R25</f>
        <v>65000</v>
      </c>
      <c r="T25" s="41">
        <f t="shared" si="8"/>
        <v>270000</v>
      </c>
      <c r="U25" s="1">
        <v>-10000</v>
      </c>
      <c r="V25" s="41">
        <f t="shared" si="9"/>
        <v>260000</v>
      </c>
    </row>
    <row r="26" spans="1:22">
      <c r="A26" s="4">
        <v>32903</v>
      </c>
      <c r="B26" s="4" t="s">
        <v>555</v>
      </c>
      <c r="C26" s="7">
        <v>0</v>
      </c>
      <c r="D26" s="7">
        <v>61000</v>
      </c>
      <c r="E26" s="10">
        <f t="shared" si="14"/>
        <v>61000</v>
      </c>
      <c r="G26" s="16">
        <f t="shared" si="4"/>
        <v>61000</v>
      </c>
      <c r="H26" s="1">
        <v>-20000</v>
      </c>
      <c r="I26" s="16">
        <f t="shared" si="15"/>
        <v>41000</v>
      </c>
      <c r="K26" s="16">
        <f t="shared" si="16"/>
        <v>41000</v>
      </c>
      <c r="M26" s="41">
        <f t="shared" si="5"/>
        <v>41000</v>
      </c>
      <c r="N26" s="41">
        <v>50000</v>
      </c>
      <c r="O26" s="1">
        <f t="shared" si="17"/>
        <v>9000</v>
      </c>
      <c r="P26" s="41">
        <f t="shared" si="6"/>
        <v>50000</v>
      </c>
      <c r="Q26" s="1">
        <f>60000-P26</f>
        <v>10000</v>
      </c>
      <c r="R26" s="41">
        <f t="shared" si="18"/>
        <v>60000</v>
      </c>
      <c r="S26" s="41">
        <f>30000-R26</f>
        <v>-30000</v>
      </c>
      <c r="T26" s="41">
        <f t="shared" si="8"/>
        <v>30000</v>
      </c>
      <c r="U26" s="1">
        <v>30000</v>
      </c>
      <c r="V26" s="41">
        <f t="shared" si="9"/>
        <v>60000</v>
      </c>
    </row>
    <row r="27" spans="1:22">
      <c r="A27" s="4">
        <v>32904</v>
      </c>
      <c r="B27" s="4" t="s">
        <v>556</v>
      </c>
      <c r="C27" s="7">
        <v>0</v>
      </c>
      <c r="D27" s="7">
        <v>200</v>
      </c>
      <c r="E27" s="10">
        <f t="shared" si="14"/>
        <v>200</v>
      </c>
      <c r="G27" s="16">
        <f t="shared" si="4"/>
        <v>200</v>
      </c>
      <c r="I27" s="16">
        <f t="shared" si="15"/>
        <v>200</v>
      </c>
      <c r="K27" s="16">
        <f t="shared" si="16"/>
        <v>200</v>
      </c>
      <c r="M27" s="41">
        <f t="shared" si="5"/>
        <v>200</v>
      </c>
      <c r="N27" s="41">
        <v>100</v>
      </c>
      <c r="O27" s="1">
        <f t="shared" si="17"/>
        <v>-100</v>
      </c>
      <c r="P27" s="41">
        <f t="shared" si="6"/>
        <v>100</v>
      </c>
      <c r="Q27" s="1">
        <v>0</v>
      </c>
      <c r="R27" s="41">
        <f t="shared" si="18"/>
        <v>100</v>
      </c>
      <c r="S27" s="41">
        <v>0</v>
      </c>
      <c r="T27" s="41">
        <f t="shared" si="8"/>
        <v>100</v>
      </c>
      <c r="U27" s="1">
        <v>0</v>
      </c>
      <c r="V27" s="41">
        <f t="shared" si="9"/>
        <v>100</v>
      </c>
    </row>
    <row r="28" spans="1:22">
      <c r="A28" s="4">
        <v>32905</v>
      </c>
      <c r="B28" s="4" t="s">
        <v>557</v>
      </c>
      <c r="C28" s="7">
        <v>0</v>
      </c>
      <c r="D28" s="7">
        <v>150000</v>
      </c>
      <c r="E28" s="10">
        <f t="shared" si="14"/>
        <v>150000</v>
      </c>
      <c r="F28" s="1">
        <v>-130000</v>
      </c>
      <c r="G28" s="16">
        <f t="shared" si="4"/>
        <v>20000</v>
      </c>
      <c r="I28" s="16">
        <f t="shared" si="15"/>
        <v>20000</v>
      </c>
      <c r="K28" s="16">
        <f t="shared" si="16"/>
        <v>20000</v>
      </c>
      <c r="L28" s="1">
        <v>-15000</v>
      </c>
      <c r="M28" s="41">
        <f t="shared" si="5"/>
        <v>5000</v>
      </c>
      <c r="N28" s="41">
        <v>2700</v>
      </c>
      <c r="O28" s="1">
        <f t="shared" si="17"/>
        <v>-2300</v>
      </c>
      <c r="P28" s="41">
        <f t="shared" si="6"/>
        <v>2700</v>
      </c>
      <c r="Q28" s="1">
        <v>0</v>
      </c>
      <c r="R28" s="41">
        <f t="shared" si="18"/>
        <v>2700</v>
      </c>
      <c r="S28" s="41">
        <f>1000-R28</f>
        <v>-1700</v>
      </c>
      <c r="T28" s="41">
        <f t="shared" si="8"/>
        <v>1000</v>
      </c>
      <c r="U28" s="1">
        <v>0</v>
      </c>
      <c r="V28" s="41">
        <f t="shared" si="9"/>
        <v>1000</v>
      </c>
    </row>
    <row r="29" spans="1:22">
      <c r="A29" s="4">
        <v>32906</v>
      </c>
      <c r="B29" s="4" t="s">
        <v>558</v>
      </c>
      <c r="C29" s="7">
        <v>0</v>
      </c>
      <c r="D29" s="7">
        <v>60000</v>
      </c>
      <c r="E29" s="10">
        <f t="shared" si="14"/>
        <v>60000</v>
      </c>
      <c r="F29" s="1">
        <v>-40000</v>
      </c>
      <c r="G29" s="16">
        <f t="shared" si="4"/>
        <v>20000</v>
      </c>
      <c r="I29" s="16">
        <f t="shared" si="15"/>
        <v>20000</v>
      </c>
      <c r="J29" s="1">
        <v>-20000</v>
      </c>
      <c r="K29" s="16">
        <f t="shared" si="16"/>
        <v>0</v>
      </c>
      <c r="M29" s="41">
        <f t="shared" si="5"/>
        <v>0</v>
      </c>
      <c r="N29" s="41">
        <v>1000</v>
      </c>
      <c r="O29" s="1">
        <f t="shared" si="17"/>
        <v>1000</v>
      </c>
      <c r="P29" s="41">
        <f t="shared" si="6"/>
        <v>1000</v>
      </c>
      <c r="Q29" s="1">
        <v>0</v>
      </c>
      <c r="R29" s="41">
        <f t="shared" si="18"/>
        <v>1000</v>
      </c>
      <c r="S29" s="41">
        <v>-1000</v>
      </c>
      <c r="T29" s="41">
        <f t="shared" si="8"/>
        <v>0</v>
      </c>
      <c r="U29" s="1">
        <v>0</v>
      </c>
      <c r="V29" s="41">
        <f t="shared" si="9"/>
        <v>0</v>
      </c>
    </row>
    <row r="30" spans="1:22">
      <c r="A30" s="4">
        <v>32907</v>
      </c>
      <c r="B30" s="43" t="s">
        <v>716</v>
      </c>
      <c r="C30" s="7">
        <v>0</v>
      </c>
      <c r="D30" s="7">
        <v>120000</v>
      </c>
      <c r="E30" s="10">
        <f t="shared" si="14"/>
        <v>120000</v>
      </c>
      <c r="F30" s="1">
        <v>-20000</v>
      </c>
      <c r="G30" s="16">
        <f t="shared" si="4"/>
        <v>100000</v>
      </c>
      <c r="I30" s="16">
        <f t="shared" si="15"/>
        <v>100000</v>
      </c>
      <c r="K30" s="16">
        <f t="shared" si="16"/>
        <v>100000</v>
      </c>
      <c r="M30" s="41">
        <f t="shared" si="5"/>
        <v>100000</v>
      </c>
      <c r="N30" s="41">
        <v>0</v>
      </c>
      <c r="O30" s="1">
        <f t="shared" si="17"/>
        <v>-100000</v>
      </c>
      <c r="P30" s="41">
        <f t="shared" si="6"/>
        <v>0</v>
      </c>
      <c r="Q30" s="1">
        <v>20000</v>
      </c>
      <c r="R30" s="41">
        <f t="shared" si="18"/>
        <v>20000</v>
      </c>
      <c r="S30" s="41">
        <v>45000</v>
      </c>
      <c r="T30" s="41">
        <f t="shared" si="8"/>
        <v>65000</v>
      </c>
      <c r="U30" s="1">
        <v>-20000</v>
      </c>
      <c r="V30" s="41">
        <f t="shared" si="9"/>
        <v>45000</v>
      </c>
    </row>
    <row r="31" spans="1:22">
      <c r="A31" s="4">
        <v>32908</v>
      </c>
      <c r="B31" s="4" t="s">
        <v>560</v>
      </c>
      <c r="C31" s="7">
        <v>325050.61</v>
      </c>
      <c r="D31" s="7">
        <v>10000</v>
      </c>
      <c r="E31" s="10">
        <f t="shared" si="14"/>
        <v>335050.61</v>
      </c>
      <c r="F31" s="1">
        <v>-50000</v>
      </c>
      <c r="G31" s="16">
        <f t="shared" si="4"/>
        <v>285050.61</v>
      </c>
      <c r="H31" s="1">
        <v>-30000</v>
      </c>
      <c r="I31" s="16">
        <f t="shared" si="15"/>
        <v>255050.61</v>
      </c>
      <c r="J31" s="1">
        <v>-200000</v>
      </c>
      <c r="K31" s="16">
        <f t="shared" si="16"/>
        <v>55050.609999999986</v>
      </c>
      <c r="L31" s="1">
        <v>-55050.61</v>
      </c>
      <c r="M31" s="41">
        <f t="shared" si="5"/>
        <v>0</v>
      </c>
      <c r="N31" s="41">
        <v>0</v>
      </c>
      <c r="O31" s="1">
        <f t="shared" si="17"/>
        <v>0</v>
      </c>
      <c r="P31" s="41">
        <f t="shared" si="6"/>
        <v>0</v>
      </c>
      <c r="Q31" s="1">
        <v>30000</v>
      </c>
      <c r="R31" s="41">
        <f t="shared" si="18"/>
        <v>30000</v>
      </c>
      <c r="S31" s="41">
        <v>35000</v>
      </c>
      <c r="T31" s="41">
        <f t="shared" si="8"/>
        <v>65000</v>
      </c>
      <c r="U31" s="1">
        <v>-20000</v>
      </c>
      <c r="V31" s="41">
        <f t="shared" si="9"/>
        <v>45000</v>
      </c>
    </row>
    <row r="32" spans="1:22">
      <c r="A32" s="4">
        <v>32909</v>
      </c>
      <c r="B32" s="4" t="s">
        <v>562</v>
      </c>
      <c r="C32" s="7">
        <v>0</v>
      </c>
      <c r="D32" s="7">
        <v>600</v>
      </c>
      <c r="E32" s="10">
        <f t="shared" si="14"/>
        <v>600</v>
      </c>
      <c r="G32" s="16">
        <f t="shared" si="4"/>
        <v>600</v>
      </c>
      <c r="I32" s="16">
        <f t="shared" si="15"/>
        <v>600</v>
      </c>
      <c r="K32" s="16">
        <f t="shared" si="16"/>
        <v>600</v>
      </c>
      <c r="M32" s="41">
        <f t="shared" si="5"/>
        <v>600</v>
      </c>
      <c r="N32" s="41">
        <v>0</v>
      </c>
      <c r="O32" s="1">
        <f t="shared" si="17"/>
        <v>-600</v>
      </c>
      <c r="P32" s="41">
        <f t="shared" si="6"/>
        <v>0</v>
      </c>
      <c r="Q32" s="1">
        <v>0</v>
      </c>
      <c r="R32" s="41">
        <f t="shared" si="18"/>
        <v>0</v>
      </c>
      <c r="S32" s="41">
        <v>0</v>
      </c>
      <c r="T32" s="41">
        <f t="shared" si="8"/>
        <v>0</v>
      </c>
      <c r="U32" s="1">
        <v>0</v>
      </c>
      <c r="V32" s="41">
        <f t="shared" si="9"/>
        <v>0</v>
      </c>
    </row>
    <row r="33" spans="1:22">
      <c r="A33" s="4">
        <v>32910</v>
      </c>
      <c r="B33" s="4" t="s">
        <v>567</v>
      </c>
      <c r="C33" s="7">
        <v>0</v>
      </c>
      <c r="D33" s="7">
        <v>1000</v>
      </c>
      <c r="E33" s="10">
        <f t="shared" si="14"/>
        <v>1000</v>
      </c>
      <c r="G33" s="16">
        <f t="shared" ref="G33:G92" si="19">E33+F33</f>
        <v>1000</v>
      </c>
      <c r="I33" s="16">
        <f t="shared" si="15"/>
        <v>1000</v>
      </c>
      <c r="K33" s="16">
        <f t="shared" si="16"/>
        <v>1000</v>
      </c>
      <c r="M33" s="41">
        <f t="shared" si="5"/>
        <v>1000</v>
      </c>
      <c r="N33" s="41">
        <v>1600</v>
      </c>
      <c r="O33" s="1">
        <f t="shared" si="17"/>
        <v>600</v>
      </c>
      <c r="P33" s="41">
        <f t="shared" si="6"/>
        <v>1600</v>
      </c>
      <c r="Q33" s="1">
        <v>0</v>
      </c>
      <c r="R33" s="41">
        <f t="shared" si="18"/>
        <v>1600</v>
      </c>
      <c r="S33" s="41">
        <v>0</v>
      </c>
      <c r="T33" s="41">
        <f t="shared" si="8"/>
        <v>1600</v>
      </c>
      <c r="U33" s="1">
        <v>0</v>
      </c>
      <c r="V33" s="41">
        <f t="shared" si="9"/>
        <v>1600</v>
      </c>
    </row>
    <row r="34" spans="1:22">
      <c r="A34" s="4">
        <v>32911</v>
      </c>
      <c r="B34" s="4" t="s">
        <v>633</v>
      </c>
      <c r="E34" s="10"/>
      <c r="G34" s="16">
        <v>0</v>
      </c>
      <c r="H34" s="1">
        <v>50000</v>
      </c>
      <c r="I34" s="16">
        <f t="shared" si="15"/>
        <v>50000</v>
      </c>
      <c r="K34" s="16">
        <f t="shared" si="16"/>
        <v>50000</v>
      </c>
      <c r="L34" s="1">
        <v>-50000</v>
      </c>
      <c r="M34" s="41">
        <f t="shared" si="5"/>
        <v>0</v>
      </c>
      <c r="N34" s="41">
        <v>0</v>
      </c>
      <c r="O34" s="1">
        <f t="shared" si="17"/>
        <v>0</v>
      </c>
      <c r="P34" s="41">
        <f t="shared" si="6"/>
        <v>0</v>
      </c>
      <c r="Q34" s="1">
        <v>0</v>
      </c>
      <c r="R34" s="41">
        <f t="shared" si="18"/>
        <v>0</v>
      </c>
      <c r="S34" s="41">
        <v>0</v>
      </c>
      <c r="T34" s="41">
        <f t="shared" si="8"/>
        <v>0</v>
      </c>
      <c r="U34" s="1">
        <v>0</v>
      </c>
      <c r="V34" s="41">
        <f t="shared" si="9"/>
        <v>0</v>
      </c>
    </row>
    <row r="35" spans="1:22">
      <c r="A35" s="4">
        <v>33000</v>
      </c>
      <c r="B35" s="4" t="s">
        <v>574</v>
      </c>
      <c r="C35" s="7">
        <v>0</v>
      </c>
      <c r="D35" s="7">
        <v>225000</v>
      </c>
      <c r="E35" s="10">
        <f t="shared" si="14"/>
        <v>225000</v>
      </c>
      <c r="F35" s="1">
        <v>50000</v>
      </c>
      <c r="G35" s="16">
        <f t="shared" si="19"/>
        <v>275000</v>
      </c>
      <c r="I35" s="16">
        <f t="shared" si="15"/>
        <v>275000</v>
      </c>
      <c r="J35" s="1">
        <v>15000</v>
      </c>
      <c r="K35" s="16">
        <f t="shared" si="16"/>
        <v>290000</v>
      </c>
      <c r="L35" s="1">
        <v>-50000</v>
      </c>
      <c r="M35" s="41">
        <f t="shared" si="5"/>
        <v>240000</v>
      </c>
      <c r="N35" s="41">
        <v>240000</v>
      </c>
      <c r="O35" s="1">
        <f t="shared" si="17"/>
        <v>0</v>
      </c>
      <c r="P35" s="41">
        <f t="shared" si="6"/>
        <v>240000</v>
      </c>
      <c r="Q35" s="1">
        <f>250000-P35</f>
        <v>10000</v>
      </c>
      <c r="R35" s="41">
        <f t="shared" si="18"/>
        <v>250000</v>
      </c>
      <c r="S35" s="41">
        <v>55000</v>
      </c>
      <c r="T35" s="41">
        <f t="shared" si="8"/>
        <v>305000</v>
      </c>
      <c r="U35" s="1">
        <v>-5000</v>
      </c>
      <c r="V35" s="41">
        <f t="shared" si="9"/>
        <v>300000</v>
      </c>
    </row>
    <row r="36" spans="1:22">
      <c r="A36" s="4">
        <v>33100</v>
      </c>
      <c r="B36" s="4" t="s">
        <v>573</v>
      </c>
      <c r="C36" s="7">
        <v>0</v>
      </c>
      <c r="D36" s="7">
        <v>260847.22</v>
      </c>
      <c r="E36" s="10">
        <f t="shared" si="14"/>
        <v>260847.22</v>
      </c>
      <c r="F36" s="1">
        <v>-70000</v>
      </c>
      <c r="G36" s="16">
        <f t="shared" si="19"/>
        <v>190847.22</v>
      </c>
      <c r="I36" s="16">
        <f t="shared" si="15"/>
        <v>190847.22</v>
      </c>
      <c r="J36" s="1">
        <v>20000</v>
      </c>
      <c r="K36" s="16">
        <f t="shared" si="16"/>
        <v>210847.22</v>
      </c>
      <c r="L36" s="1">
        <f>50000-9283.2-1564.02</f>
        <v>39152.780000000006</v>
      </c>
      <c r="M36" s="41">
        <f t="shared" si="5"/>
        <v>250000</v>
      </c>
      <c r="N36" s="41">
        <v>260000</v>
      </c>
      <c r="O36" s="1">
        <f t="shared" si="17"/>
        <v>10000</v>
      </c>
      <c r="P36" s="41">
        <f t="shared" si="6"/>
        <v>260000</v>
      </c>
      <c r="Q36" s="1">
        <v>10000</v>
      </c>
      <c r="R36" s="41">
        <f t="shared" si="18"/>
        <v>270000</v>
      </c>
      <c r="S36" s="1">
        <f>250000-R36</f>
        <v>-20000</v>
      </c>
      <c r="T36" s="41">
        <f t="shared" si="8"/>
        <v>250000</v>
      </c>
      <c r="U36" s="1">
        <v>0</v>
      </c>
      <c r="V36" s="41">
        <f t="shared" si="9"/>
        <v>250000</v>
      </c>
    </row>
    <row r="37" spans="1:22">
      <c r="A37" s="4">
        <v>33200</v>
      </c>
      <c r="B37" s="4" t="s">
        <v>594</v>
      </c>
      <c r="C37" s="7">
        <v>0</v>
      </c>
      <c r="D37" s="7">
        <v>600000</v>
      </c>
      <c r="E37" s="10">
        <f t="shared" si="14"/>
        <v>600000</v>
      </c>
      <c r="G37" s="16">
        <f t="shared" si="19"/>
        <v>600000</v>
      </c>
      <c r="I37" s="16">
        <f t="shared" si="15"/>
        <v>600000</v>
      </c>
      <c r="K37" s="16">
        <f t="shared" si="16"/>
        <v>600000</v>
      </c>
      <c r="L37" s="1">
        <v>-80000</v>
      </c>
      <c r="M37" s="41">
        <f t="shared" si="5"/>
        <v>520000</v>
      </c>
      <c r="N37" s="41">
        <v>520000</v>
      </c>
      <c r="O37" s="1">
        <f t="shared" si="17"/>
        <v>0</v>
      </c>
      <c r="P37" s="41">
        <f t="shared" si="6"/>
        <v>520000</v>
      </c>
      <c r="Q37" s="1">
        <v>10000</v>
      </c>
      <c r="R37" s="41">
        <f t="shared" si="18"/>
        <v>530000</v>
      </c>
      <c r="S37" s="1">
        <f>500000-R37</f>
        <v>-30000</v>
      </c>
      <c r="T37" s="41">
        <f t="shared" si="8"/>
        <v>500000</v>
      </c>
      <c r="U37" s="1">
        <v>50000</v>
      </c>
      <c r="V37" s="41">
        <f t="shared" si="9"/>
        <v>550000</v>
      </c>
    </row>
    <row r="38" spans="1:22">
      <c r="A38" s="4">
        <v>33300</v>
      </c>
      <c r="B38" s="4" t="s">
        <v>595</v>
      </c>
      <c r="C38" s="7">
        <v>0</v>
      </c>
      <c r="D38" s="7">
        <v>315000</v>
      </c>
      <c r="E38" s="10">
        <f t="shared" si="14"/>
        <v>315000</v>
      </c>
      <c r="F38" s="1">
        <v>-97000</v>
      </c>
      <c r="G38" s="16">
        <f t="shared" si="19"/>
        <v>218000</v>
      </c>
      <c r="I38" s="16">
        <f t="shared" si="15"/>
        <v>218000</v>
      </c>
      <c r="J38" s="1">
        <v>-218000</v>
      </c>
      <c r="K38" s="16">
        <f t="shared" si="16"/>
        <v>0</v>
      </c>
      <c r="M38" s="41">
        <f t="shared" si="5"/>
        <v>0</v>
      </c>
      <c r="N38" s="41">
        <v>0</v>
      </c>
      <c r="O38" s="1">
        <f t="shared" si="17"/>
        <v>0</v>
      </c>
      <c r="P38" s="41">
        <f t="shared" si="6"/>
        <v>0</v>
      </c>
      <c r="Q38" s="1">
        <v>0</v>
      </c>
      <c r="R38" s="41">
        <f t="shared" si="18"/>
        <v>0</v>
      </c>
      <c r="S38" s="1">
        <v>0</v>
      </c>
      <c r="T38" s="41">
        <f t="shared" si="8"/>
        <v>0</v>
      </c>
      <c r="U38" s="1">
        <v>0</v>
      </c>
      <c r="V38" s="41">
        <f t="shared" si="9"/>
        <v>0</v>
      </c>
    </row>
    <row r="39" spans="1:22">
      <c r="A39" s="4">
        <v>33500</v>
      </c>
      <c r="B39" s="4" t="s">
        <v>568</v>
      </c>
      <c r="C39" s="7">
        <v>0</v>
      </c>
      <c r="D39" s="7">
        <v>225000</v>
      </c>
      <c r="E39" s="10">
        <f t="shared" si="14"/>
        <v>225000</v>
      </c>
      <c r="F39" s="1">
        <v>-75000</v>
      </c>
      <c r="G39" s="16">
        <f t="shared" si="19"/>
        <v>150000</v>
      </c>
      <c r="I39" s="16">
        <f t="shared" si="15"/>
        <v>150000</v>
      </c>
      <c r="K39" s="16">
        <f t="shared" si="16"/>
        <v>150000</v>
      </c>
      <c r="L39" s="1">
        <v>50000</v>
      </c>
      <c r="M39" s="41">
        <f t="shared" si="5"/>
        <v>200000</v>
      </c>
      <c r="N39" s="41">
        <v>200000</v>
      </c>
      <c r="O39" s="1">
        <f t="shared" si="17"/>
        <v>0</v>
      </c>
      <c r="P39" s="41">
        <f t="shared" si="6"/>
        <v>200000</v>
      </c>
      <c r="Q39" s="1">
        <v>10000</v>
      </c>
      <c r="R39" s="41">
        <f t="shared" si="18"/>
        <v>210000</v>
      </c>
      <c r="S39" s="1">
        <f>190000-R39</f>
        <v>-20000</v>
      </c>
      <c r="T39" s="41">
        <f t="shared" si="8"/>
        <v>190000</v>
      </c>
      <c r="U39" s="1">
        <v>200000</v>
      </c>
      <c r="V39" s="41">
        <f t="shared" si="9"/>
        <v>390000</v>
      </c>
    </row>
    <row r="40" spans="1:22">
      <c r="A40" s="4">
        <v>33800</v>
      </c>
      <c r="B40" s="4" t="s">
        <v>223</v>
      </c>
      <c r="C40" s="7">
        <v>0</v>
      </c>
      <c r="D40" s="7">
        <v>228000</v>
      </c>
      <c r="E40" s="10">
        <f t="shared" si="14"/>
        <v>228000</v>
      </c>
      <c r="F40" s="1">
        <v>-83000</v>
      </c>
      <c r="G40" s="16">
        <f t="shared" si="19"/>
        <v>145000</v>
      </c>
      <c r="H40" s="1">
        <v>5000</v>
      </c>
      <c r="I40" s="16">
        <f t="shared" si="15"/>
        <v>150000</v>
      </c>
      <c r="K40" s="16">
        <f t="shared" si="16"/>
        <v>150000</v>
      </c>
      <c r="L40" s="1">
        <v>-25000</v>
      </c>
      <c r="M40" s="41">
        <f t="shared" si="5"/>
        <v>125000</v>
      </c>
      <c r="N40" s="41">
        <v>120000</v>
      </c>
      <c r="O40" s="1">
        <f t="shared" si="17"/>
        <v>-5000</v>
      </c>
      <c r="P40" s="41">
        <f t="shared" si="6"/>
        <v>120000</v>
      </c>
      <c r="Q40" s="1">
        <v>0</v>
      </c>
      <c r="R40" s="41">
        <f t="shared" si="18"/>
        <v>120000</v>
      </c>
      <c r="S40" s="1">
        <v>0</v>
      </c>
      <c r="T40" s="41">
        <f t="shared" si="8"/>
        <v>120000</v>
      </c>
      <c r="U40" s="1">
        <v>20000</v>
      </c>
      <c r="V40" s="41">
        <f t="shared" si="9"/>
        <v>140000</v>
      </c>
    </row>
    <row r="41" spans="1:22">
      <c r="A41" s="4">
        <v>33900</v>
      </c>
      <c r="B41" s="4" t="s">
        <v>554</v>
      </c>
      <c r="C41" s="7">
        <v>0</v>
      </c>
      <c r="D41" s="7">
        <v>50000</v>
      </c>
      <c r="E41" s="10">
        <f t="shared" si="14"/>
        <v>50000</v>
      </c>
      <c r="F41" s="1">
        <v>-20000</v>
      </c>
      <c r="G41" s="16">
        <f t="shared" si="19"/>
        <v>30000</v>
      </c>
      <c r="I41" s="16">
        <f t="shared" si="15"/>
        <v>30000</v>
      </c>
      <c r="K41" s="16">
        <f t="shared" si="16"/>
        <v>30000</v>
      </c>
      <c r="M41" s="41">
        <f t="shared" si="5"/>
        <v>30000</v>
      </c>
      <c r="N41" s="41">
        <v>35000</v>
      </c>
      <c r="O41" s="1">
        <f t="shared" si="17"/>
        <v>5000</v>
      </c>
      <c r="P41" s="41">
        <f t="shared" si="6"/>
        <v>35000</v>
      </c>
      <c r="Q41" s="1">
        <v>0</v>
      </c>
      <c r="R41" s="41">
        <f t="shared" si="18"/>
        <v>35000</v>
      </c>
      <c r="S41" s="41">
        <f>25000-R41</f>
        <v>-10000</v>
      </c>
      <c r="T41" s="41">
        <f t="shared" si="8"/>
        <v>25000</v>
      </c>
      <c r="U41" s="1">
        <f>20000-T41</f>
        <v>-5000</v>
      </c>
      <c r="V41" s="41">
        <f t="shared" si="9"/>
        <v>20000</v>
      </c>
    </row>
    <row r="42" spans="1:22">
      <c r="A42" s="4">
        <v>33902</v>
      </c>
      <c r="B42" s="4" t="s">
        <v>569</v>
      </c>
      <c r="C42" s="7">
        <v>0</v>
      </c>
      <c r="D42" s="7">
        <v>44000</v>
      </c>
      <c r="E42" s="10">
        <f t="shared" si="14"/>
        <v>44000</v>
      </c>
      <c r="G42" s="16">
        <f t="shared" si="19"/>
        <v>44000</v>
      </c>
      <c r="I42" s="16">
        <f t="shared" si="15"/>
        <v>44000</v>
      </c>
      <c r="J42" s="1">
        <v>-14000</v>
      </c>
      <c r="K42" s="16">
        <f t="shared" si="16"/>
        <v>30000</v>
      </c>
      <c r="L42" s="1">
        <v>-15000</v>
      </c>
      <c r="M42" s="41">
        <f t="shared" si="5"/>
        <v>15000</v>
      </c>
      <c r="N42" s="41">
        <v>20000</v>
      </c>
      <c r="O42" s="1">
        <f t="shared" si="17"/>
        <v>5000</v>
      </c>
      <c r="P42" s="41">
        <f t="shared" si="6"/>
        <v>20000</v>
      </c>
      <c r="Q42" s="1">
        <v>0</v>
      </c>
      <c r="R42" s="41">
        <f t="shared" si="18"/>
        <v>20000</v>
      </c>
      <c r="S42" s="1">
        <f>30000-R42</f>
        <v>10000</v>
      </c>
      <c r="T42" s="41">
        <f t="shared" si="8"/>
        <v>30000</v>
      </c>
      <c r="U42" s="1">
        <f>10000-T42</f>
        <v>-20000</v>
      </c>
      <c r="V42" s="41">
        <f t="shared" si="9"/>
        <v>10000</v>
      </c>
    </row>
    <row r="43" spans="1:22">
      <c r="A43" s="4">
        <v>33903</v>
      </c>
      <c r="B43" s="4" t="s">
        <v>570</v>
      </c>
      <c r="C43" s="7">
        <v>0</v>
      </c>
      <c r="D43" s="7">
        <v>348000</v>
      </c>
      <c r="E43" s="10">
        <f t="shared" ref="E43:E63" si="20">C43+D43</f>
        <v>348000</v>
      </c>
      <c r="F43" s="1">
        <v>53000</v>
      </c>
      <c r="G43" s="16">
        <f t="shared" si="19"/>
        <v>401000</v>
      </c>
      <c r="H43" s="1">
        <v>100000</v>
      </c>
      <c r="I43" s="16">
        <f t="shared" si="15"/>
        <v>501000</v>
      </c>
      <c r="J43" s="1">
        <v>-100000</v>
      </c>
      <c r="K43" s="16">
        <f t="shared" si="16"/>
        <v>401000</v>
      </c>
      <c r="M43" s="41">
        <f t="shared" si="5"/>
        <v>401000</v>
      </c>
      <c r="N43" s="41">
        <v>430000</v>
      </c>
      <c r="O43" s="1">
        <f t="shared" si="17"/>
        <v>29000</v>
      </c>
      <c r="P43" s="41">
        <f t="shared" si="6"/>
        <v>430000</v>
      </c>
      <c r="Q43" s="1">
        <v>0</v>
      </c>
      <c r="R43" s="41">
        <f t="shared" si="18"/>
        <v>430000</v>
      </c>
      <c r="S43" s="1">
        <f>400000-R43</f>
        <v>-30000</v>
      </c>
      <c r="T43" s="41">
        <f t="shared" si="8"/>
        <v>400000</v>
      </c>
      <c r="U43" s="1">
        <v>0</v>
      </c>
      <c r="V43" s="41">
        <f t="shared" si="9"/>
        <v>400000</v>
      </c>
    </row>
    <row r="44" spans="1:22">
      <c r="A44" s="4">
        <v>33904</v>
      </c>
      <c r="B44" s="4" t="s">
        <v>571</v>
      </c>
      <c r="C44" s="7">
        <v>0</v>
      </c>
      <c r="D44" s="7">
        <v>10600</v>
      </c>
      <c r="E44" s="10">
        <f t="shared" si="20"/>
        <v>10600</v>
      </c>
      <c r="F44" s="1">
        <v>-5000</v>
      </c>
      <c r="G44" s="16">
        <f t="shared" si="19"/>
        <v>5600</v>
      </c>
      <c r="I44" s="16">
        <f t="shared" si="15"/>
        <v>5600</v>
      </c>
      <c r="J44" s="1">
        <v>5000</v>
      </c>
      <c r="K44" s="16">
        <f t="shared" si="16"/>
        <v>10600</v>
      </c>
      <c r="M44" s="41">
        <f t="shared" si="5"/>
        <v>10600</v>
      </c>
      <c r="N44" s="41">
        <v>10000</v>
      </c>
      <c r="O44" s="1">
        <f t="shared" si="17"/>
        <v>-600</v>
      </c>
      <c r="P44" s="41">
        <f t="shared" si="6"/>
        <v>10000</v>
      </c>
      <c r="Q44" s="1">
        <v>0</v>
      </c>
      <c r="R44" s="41">
        <f t="shared" si="18"/>
        <v>10000</v>
      </c>
      <c r="S44" s="1">
        <v>0</v>
      </c>
      <c r="T44" s="41">
        <f t="shared" si="8"/>
        <v>10000</v>
      </c>
      <c r="U44" s="1">
        <f>15000-T44</f>
        <v>5000</v>
      </c>
      <c r="V44" s="41">
        <f t="shared" si="9"/>
        <v>15000</v>
      </c>
    </row>
    <row r="45" spans="1:22">
      <c r="A45" s="4">
        <v>33905</v>
      </c>
      <c r="B45" s="4" t="s">
        <v>572</v>
      </c>
      <c r="C45" s="7">
        <v>0</v>
      </c>
      <c r="D45" s="7">
        <v>223000</v>
      </c>
      <c r="E45" s="10">
        <f t="shared" si="20"/>
        <v>223000</v>
      </c>
      <c r="F45" s="1">
        <v>-150000</v>
      </c>
      <c r="G45" s="16">
        <f t="shared" si="19"/>
        <v>73000</v>
      </c>
      <c r="H45" s="1">
        <v>-15000</v>
      </c>
      <c r="I45" s="16">
        <f t="shared" si="15"/>
        <v>58000</v>
      </c>
      <c r="K45" s="16">
        <f t="shared" si="16"/>
        <v>58000</v>
      </c>
      <c r="M45" s="41">
        <f t="shared" si="5"/>
        <v>58000</v>
      </c>
      <c r="N45" s="41">
        <v>35000</v>
      </c>
      <c r="O45" s="1">
        <f t="shared" si="17"/>
        <v>-23000</v>
      </c>
      <c r="P45" s="41">
        <f t="shared" si="6"/>
        <v>35000</v>
      </c>
      <c r="Q45" s="1">
        <v>0</v>
      </c>
      <c r="R45" s="41">
        <f t="shared" si="18"/>
        <v>35000</v>
      </c>
      <c r="S45" s="1">
        <f>90000-R45</f>
        <v>55000</v>
      </c>
      <c r="T45" s="41">
        <f t="shared" si="8"/>
        <v>90000</v>
      </c>
      <c r="U45" s="1">
        <v>35000</v>
      </c>
      <c r="V45" s="41">
        <f t="shared" si="9"/>
        <v>125000</v>
      </c>
    </row>
    <row r="46" spans="1:22">
      <c r="A46" s="4">
        <v>36000</v>
      </c>
      <c r="B46" s="4" t="s">
        <v>546</v>
      </c>
      <c r="C46" s="7">
        <v>0</v>
      </c>
      <c r="D46" s="10">
        <v>40000</v>
      </c>
      <c r="E46" s="10">
        <f t="shared" si="20"/>
        <v>40000</v>
      </c>
      <c r="F46" s="1">
        <v>-30000</v>
      </c>
      <c r="G46" s="16">
        <f t="shared" si="19"/>
        <v>10000</v>
      </c>
      <c r="H46" s="1">
        <v>-9000</v>
      </c>
      <c r="I46" s="16">
        <f t="shared" si="15"/>
        <v>1000</v>
      </c>
      <c r="K46" s="16">
        <f t="shared" si="16"/>
        <v>1000</v>
      </c>
      <c r="M46" s="41">
        <f t="shared" si="5"/>
        <v>1000</v>
      </c>
      <c r="N46" s="41">
        <v>1000</v>
      </c>
      <c r="O46" s="1">
        <f t="shared" si="17"/>
        <v>0</v>
      </c>
      <c r="P46" s="41">
        <f t="shared" si="6"/>
        <v>1000</v>
      </c>
      <c r="Q46" s="1">
        <v>0</v>
      </c>
      <c r="R46" s="41">
        <f t="shared" si="18"/>
        <v>1000</v>
      </c>
      <c r="S46" s="1">
        <v>0</v>
      </c>
      <c r="T46" s="41">
        <f t="shared" si="8"/>
        <v>1000</v>
      </c>
      <c r="U46" s="1">
        <v>0</v>
      </c>
      <c r="V46" s="41">
        <f t="shared" si="9"/>
        <v>1000</v>
      </c>
    </row>
    <row r="47" spans="1:22">
      <c r="A47" s="4">
        <v>38000</v>
      </c>
      <c r="B47" s="4" t="s">
        <v>458</v>
      </c>
      <c r="C47" s="7">
        <v>6000</v>
      </c>
      <c r="D47" s="7">
        <v>-5500</v>
      </c>
      <c r="E47" s="10">
        <f t="shared" si="20"/>
        <v>500</v>
      </c>
      <c r="G47" s="16">
        <f t="shared" si="19"/>
        <v>500</v>
      </c>
      <c r="I47" s="16">
        <f t="shared" si="15"/>
        <v>500</v>
      </c>
      <c r="K47" s="16">
        <f t="shared" si="16"/>
        <v>500</v>
      </c>
      <c r="M47" s="41">
        <f t="shared" si="5"/>
        <v>500</v>
      </c>
      <c r="N47" s="41">
        <v>0</v>
      </c>
      <c r="O47" s="1">
        <f t="shared" si="17"/>
        <v>-500</v>
      </c>
      <c r="P47" s="41">
        <f t="shared" si="6"/>
        <v>0</v>
      </c>
      <c r="Q47" s="1">
        <v>0</v>
      </c>
      <c r="R47" s="41">
        <f t="shared" si="18"/>
        <v>0</v>
      </c>
      <c r="S47" s="1">
        <v>0</v>
      </c>
      <c r="T47" s="41">
        <f t="shared" si="8"/>
        <v>0</v>
      </c>
      <c r="U47" s="1">
        <v>0</v>
      </c>
      <c r="V47" s="41">
        <f t="shared" si="9"/>
        <v>0</v>
      </c>
    </row>
    <row r="48" spans="1:22">
      <c r="A48" s="4">
        <v>38900</v>
      </c>
      <c r="B48" s="4" t="s">
        <v>575</v>
      </c>
      <c r="C48" s="7">
        <v>30000</v>
      </c>
      <c r="E48" s="10">
        <f t="shared" si="20"/>
        <v>30000</v>
      </c>
      <c r="G48" s="16">
        <f t="shared" si="19"/>
        <v>30000</v>
      </c>
      <c r="I48" s="16">
        <f t="shared" si="15"/>
        <v>30000</v>
      </c>
      <c r="K48" s="16">
        <f t="shared" si="16"/>
        <v>30000</v>
      </c>
      <c r="M48" s="41">
        <f t="shared" si="5"/>
        <v>30000</v>
      </c>
      <c r="N48" s="41">
        <v>30000</v>
      </c>
      <c r="O48" s="1">
        <f t="shared" si="17"/>
        <v>0</v>
      </c>
      <c r="P48" s="41">
        <f t="shared" si="6"/>
        <v>30000</v>
      </c>
      <c r="Q48" s="1">
        <v>20000</v>
      </c>
      <c r="R48" s="41">
        <f t="shared" si="18"/>
        <v>50000</v>
      </c>
      <c r="S48" s="1">
        <f>10000-R48</f>
        <v>-40000</v>
      </c>
      <c r="T48" s="41">
        <f t="shared" si="8"/>
        <v>10000</v>
      </c>
      <c r="U48" s="1">
        <v>0</v>
      </c>
      <c r="V48" s="41">
        <f t="shared" si="9"/>
        <v>10000</v>
      </c>
    </row>
    <row r="49" spans="1:22">
      <c r="A49" s="4">
        <v>39100</v>
      </c>
      <c r="B49" s="4" t="s">
        <v>57</v>
      </c>
      <c r="C49" s="7">
        <v>519000</v>
      </c>
      <c r="D49" s="7">
        <v>-500000</v>
      </c>
      <c r="E49" s="10">
        <f t="shared" si="20"/>
        <v>19000</v>
      </c>
      <c r="F49" s="1">
        <v>-10000</v>
      </c>
      <c r="G49" s="16">
        <f t="shared" si="19"/>
        <v>9000</v>
      </c>
      <c r="I49" s="16">
        <f t="shared" si="15"/>
        <v>9000</v>
      </c>
      <c r="J49" s="1">
        <v>25000</v>
      </c>
      <c r="K49" s="16">
        <f t="shared" si="16"/>
        <v>34000</v>
      </c>
      <c r="L49" s="1">
        <v>-20000</v>
      </c>
      <c r="M49" s="41">
        <f t="shared" si="5"/>
        <v>14000</v>
      </c>
      <c r="N49" s="41">
        <v>40000</v>
      </c>
      <c r="O49" s="1">
        <f t="shared" si="17"/>
        <v>26000</v>
      </c>
      <c r="P49" s="41">
        <f t="shared" si="6"/>
        <v>40000</v>
      </c>
      <c r="Q49" s="1">
        <f>95000-P49</f>
        <v>55000</v>
      </c>
      <c r="R49" s="41">
        <f t="shared" si="18"/>
        <v>95000</v>
      </c>
      <c r="S49" s="1">
        <v>130000</v>
      </c>
      <c r="T49" s="41">
        <f t="shared" si="8"/>
        <v>225000</v>
      </c>
      <c r="U49" s="1">
        <f>115000-T49</f>
        <v>-110000</v>
      </c>
      <c r="V49" s="41">
        <f t="shared" si="9"/>
        <v>115000</v>
      </c>
    </row>
    <row r="50" spans="1:22">
      <c r="A50" s="4">
        <v>39110</v>
      </c>
      <c r="B50" s="4" t="s">
        <v>58</v>
      </c>
      <c r="C50" s="7">
        <v>0</v>
      </c>
      <c r="D50" s="7">
        <v>5000</v>
      </c>
      <c r="E50" s="10">
        <f t="shared" si="20"/>
        <v>5000</v>
      </c>
      <c r="F50" s="1">
        <v>-4000</v>
      </c>
      <c r="G50" s="16">
        <f t="shared" si="19"/>
        <v>1000</v>
      </c>
      <c r="I50" s="16">
        <f t="shared" si="15"/>
        <v>1000</v>
      </c>
      <c r="K50" s="16">
        <f t="shared" si="16"/>
        <v>1000</v>
      </c>
      <c r="M50" s="41">
        <f t="shared" si="5"/>
        <v>1000</v>
      </c>
      <c r="N50" s="41">
        <v>1000</v>
      </c>
      <c r="O50" s="1">
        <f t="shared" si="17"/>
        <v>0</v>
      </c>
      <c r="P50" s="41">
        <f t="shared" si="6"/>
        <v>1000</v>
      </c>
      <c r="Q50" s="1">
        <v>0</v>
      </c>
      <c r="R50" s="41">
        <f t="shared" si="18"/>
        <v>1000</v>
      </c>
      <c r="S50" s="1">
        <v>0</v>
      </c>
      <c r="T50" s="41">
        <f t="shared" si="8"/>
        <v>1000</v>
      </c>
      <c r="U50" s="1">
        <v>0</v>
      </c>
      <c r="V50" s="41">
        <f t="shared" si="9"/>
        <v>1000</v>
      </c>
    </row>
    <row r="51" spans="1:22">
      <c r="A51" s="4">
        <v>39120</v>
      </c>
      <c r="B51" s="4" t="s">
        <v>59</v>
      </c>
      <c r="C51" s="7">
        <v>0</v>
      </c>
      <c r="D51" s="7">
        <v>550000</v>
      </c>
      <c r="E51" s="10">
        <f t="shared" si="20"/>
        <v>550000</v>
      </c>
      <c r="F51" s="1">
        <v>-50000</v>
      </c>
      <c r="G51" s="16">
        <f t="shared" si="19"/>
        <v>500000</v>
      </c>
      <c r="H51" s="1">
        <v>100000</v>
      </c>
      <c r="I51" s="16">
        <f t="shared" si="15"/>
        <v>600000</v>
      </c>
      <c r="J51" s="1">
        <v>-300000</v>
      </c>
      <c r="K51" s="16">
        <f t="shared" si="16"/>
        <v>300000</v>
      </c>
      <c r="L51" s="1">
        <f>15000+5000</f>
        <v>20000</v>
      </c>
      <c r="M51" s="41">
        <f t="shared" si="5"/>
        <v>320000</v>
      </c>
      <c r="N51" s="41">
        <v>350000</v>
      </c>
      <c r="O51" s="1">
        <f t="shared" si="17"/>
        <v>30000</v>
      </c>
      <c r="P51" s="41">
        <f t="shared" si="6"/>
        <v>350000</v>
      </c>
      <c r="Q51" s="1">
        <v>0</v>
      </c>
      <c r="R51" s="41">
        <f t="shared" si="18"/>
        <v>350000</v>
      </c>
      <c r="S51" s="1">
        <v>0</v>
      </c>
      <c r="T51" s="41">
        <f t="shared" si="8"/>
        <v>350000</v>
      </c>
      <c r="U51" s="1">
        <v>-30000</v>
      </c>
      <c r="V51" s="41">
        <f t="shared" si="9"/>
        <v>320000</v>
      </c>
    </row>
    <row r="52" spans="1:22">
      <c r="A52" s="4">
        <v>39190</v>
      </c>
      <c r="B52" s="43" t="s">
        <v>714</v>
      </c>
      <c r="C52" s="7">
        <v>0</v>
      </c>
      <c r="D52" s="7">
        <v>500</v>
      </c>
      <c r="E52" s="10">
        <f t="shared" si="20"/>
        <v>500</v>
      </c>
      <c r="G52" s="16">
        <f t="shared" si="19"/>
        <v>500</v>
      </c>
      <c r="I52" s="16">
        <f t="shared" si="15"/>
        <v>500</v>
      </c>
      <c r="K52" s="16">
        <f t="shared" si="16"/>
        <v>500</v>
      </c>
      <c r="L52" s="1">
        <v>110000</v>
      </c>
      <c r="M52" s="41">
        <f t="shared" si="5"/>
        <v>110500</v>
      </c>
      <c r="N52" s="41">
        <v>115000</v>
      </c>
      <c r="O52" s="1">
        <f t="shared" si="17"/>
        <v>4500</v>
      </c>
      <c r="P52" s="41">
        <f t="shared" si="6"/>
        <v>115000</v>
      </c>
      <c r="Q52" s="1">
        <f>60000-P52</f>
        <v>-55000</v>
      </c>
      <c r="R52" s="41">
        <f t="shared" si="18"/>
        <v>60000</v>
      </c>
      <c r="S52" s="1">
        <f>10000-R52</f>
        <v>-50000</v>
      </c>
      <c r="T52" s="41">
        <f t="shared" si="8"/>
        <v>10000</v>
      </c>
      <c r="U52" s="1">
        <v>15000</v>
      </c>
      <c r="V52" s="41">
        <f t="shared" si="9"/>
        <v>25000</v>
      </c>
    </row>
    <row r="53" spans="1:22">
      <c r="A53" s="4">
        <v>39200</v>
      </c>
      <c r="B53" s="4" t="s">
        <v>577</v>
      </c>
      <c r="C53" s="7">
        <v>100000</v>
      </c>
      <c r="D53" s="7">
        <v>-70000</v>
      </c>
      <c r="E53" s="10">
        <f t="shared" si="20"/>
        <v>30000</v>
      </c>
      <c r="G53" s="16">
        <f t="shared" si="19"/>
        <v>30000</v>
      </c>
      <c r="H53" s="1">
        <v>-5000</v>
      </c>
      <c r="I53" s="16">
        <f t="shared" si="15"/>
        <v>25000</v>
      </c>
      <c r="J53" s="1">
        <v>-17000</v>
      </c>
      <c r="K53" s="16">
        <f t="shared" si="16"/>
        <v>8000</v>
      </c>
      <c r="L53" s="1">
        <v>10000</v>
      </c>
      <c r="M53" s="41">
        <f t="shared" si="5"/>
        <v>18000</v>
      </c>
      <c r="N53" s="41">
        <v>14000</v>
      </c>
      <c r="O53" s="1">
        <f t="shared" si="17"/>
        <v>-4000</v>
      </c>
      <c r="P53" s="41">
        <f t="shared" si="6"/>
        <v>14000</v>
      </c>
      <c r="Q53" s="1">
        <f>10000-P53</f>
        <v>-4000</v>
      </c>
      <c r="R53" s="41">
        <f t="shared" si="18"/>
        <v>10000</v>
      </c>
      <c r="S53" s="1">
        <f>25000-R53</f>
        <v>15000</v>
      </c>
      <c r="T53" s="41">
        <f t="shared" si="8"/>
        <v>25000</v>
      </c>
      <c r="U53" s="1">
        <f>10000-T53</f>
        <v>-15000</v>
      </c>
      <c r="V53" s="41">
        <f t="shared" si="9"/>
        <v>10000</v>
      </c>
    </row>
    <row r="54" spans="1:22">
      <c r="A54" s="4">
        <v>39210</v>
      </c>
      <c r="B54" s="43" t="s">
        <v>715</v>
      </c>
      <c r="C54" s="7">
        <v>0</v>
      </c>
      <c r="D54" s="7">
        <v>35000</v>
      </c>
      <c r="E54" s="10">
        <f t="shared" si="20"/>
        <v>35000</v>
      </c>
      <c r="G54" s="16">
        <f t="shared" si="19"/>
        <v>35000</v>
      </c>
      <c r="H54" s="1">
        <v>45000</v>
      </c>
      <c r="I54" s="16">
        <f t="shared" si="15"/>
        <v>80000</v>
      </c>
      <c r="J54" s="1">
        <v>-15000</v>
      </c>
      <c r="K54" s="16">
        <f t="shared" si="16"/>
        <v>65000</v>
      </c>
      <c r="L54" s="1">
        <v>30000</v>
      </c>
      <c r="M54" s="41">
        <f t="shared" si="5"/>
        <v>95000</v>
      </c>
      <c r="N54" s="41">
        <v>100000</v>
      </c>
      <c r="O54" s="1">
        <f t="shared" si="17"/>
        <v>5000</v>
      </c>
      <c r="P54" s="41">
        <f t="shared" si="6"/>
        <v>100000</v>
      </c>
      <c r="Q54" s="1">
        <f>60000-P54</f>
        <v>-40000</v>
      </c>
      <c r="R54" s="41">
        <f t="shared" si="18"/>
        <v>60000</v>
      </c>
      <c r="S54" s="1">
        <v>35000</v>
      </c>
      <c r="T54" s="41">
        <f t="shared" si="8"/>
        <v>95000</v>
      </c>
      <c r="U54" s="1">
        <v>-62000</v>
      </c>
      <c r="V54" s="41">
        <f t="shared" si="9"/>
        <v>33000</v>
      </c>
    </row>
    <row r="55" spans="1:22">
      <c r="A55" s="4">
        <v>39211</v>
      </c>
      <c r="B55" s="4" t="s">
        <v>576</v>
      </c>
      <c r="C55" s="7">
        <v>430000</v>
      </c>
      <c r="D55" s="7">
        <v>75000</v>
      </c>
      <c r="E55" s="10">
        <f t="shared" si="20"/>
        <v>505000</v>
      </c>
      <c r="G55" s="16">
        <f t="shared" si="19"/>
        <v>505000</v>
      </c>
      <c r="H55" s="1">
        <v>-150000</v>
      </c>
      <c r="I55" s="16">
        <f t="shared" si="15"/>
        <v>355000</v>
      </c>
      <c r="J55" s="1">
        <v>100000</v>
      </c>
      <c r="K55" s="16">
        <f t="shared" si="16"/>
        <v>455000</v>
      </c>
      <c r="L55" s="1">
        <v>-155000</v>
      </c>
      <c r="M55" s="41">
        <f t="shared" si="5"/>
        <v>300000</v>
      </c>
      <c r="N55" s="41">
        <v>260000</v>
      </c>
      <c r="O55" s="1">
        <f t="shared" si="17"/>
        <v>-40000</v>
      </c>
      <c r="P55" s="41">
        <f t="shared" si="6"/>
        <v>260000</v>
      </c>
      <c r="Q55" s="1">
        <v>0</v>
      </c>
      <c r="R55" s="41">
        <f t="shared" si="18"/>
        <v>260000</v>
      </c>
      <c r="S55" s="1">
        <f>260000-R55</f>
        <v>0</v>
      </c>
      <c r="T55" s="41">
        <f t="shared" si="8"/>
        <v>260000</v>
      </c>
      <c r="U55" s="1">
        <v>80000</v>
      </c>
      <c r="V55" s="41">
        <f t="shared" si="9"/>
        <v>340000</v>
      </c>
    </row>
    <row r="56" spans="1:22">
      <c r="A56" s="4">
        <v>39300</v>
      </c>
      <c r="B56" s="4" t="s">
        <v>578</v>
      </c>
      <c r="C56" s="7">
        <v>195060.1</v>
      </c>
      <c r="E56" s="10">
        <f t="shared" si="20"/>
        <v>195060.1</v>
      </c>
      <c r="F56" s="1">
        <v>-95000</v>
      </c>
      <c r="G56" s="16">
        <f t="shared" si="19"/>
        <v>100060.1</v>
      </c>
      <c r="H56" s="1">
        <v>5000</v>
      </c>
      <c r="I56" s="16">
        <f t="shared" si="15"/>
        <v>105060.1</v>
      </c>
      <c r="J56" s="1">
        <f>140000-I56</f>
        <v>34939.899999999994</v>
      </c>
      <c r="K56" s="16">
        <f t="shared" si="16"/>
        <v>140000</v>
      </c>
      <c r="L56" s="1">
        <v>-25000</v>
      </c>
      <c r="M56" s="41">
        <f t="shared" si="5"/>
        <v>115000</v>
      </c>
      <c r="N56" s="41">
        <v>115000</v>
      </c>
      <c r="O56" s="1">
        <f t="shared" si="17"/>
        <v>0</v>
      </c>
      <c r="P56" s="41">
        <f t="shared" si="6"/>
        <v>115000</v>
      </c>
      <c r="Q56" s="1">
        <v>25000</v>
      </c>
      <c r="R56" s="41">
        <f t="shared" si="18"/>
        <v>140000</v>
      </c>
      <c r="S56" s="1">
        <f>125000-R56</f>
        <v>-15000</v>
      </c>
      <c r="T56" s="41">
        <f t="shared" si="8"/>
        <v>125000</v>
      </c>
      <c r="U56" s="1">
        <f>110000-T56</f>
        <v>-15000</v>
      </c>
      <c r="V56" s="41">
        <f t="shared" si="9"/>
        <v>110000</v>
      </c>
    </row>
    <row r="57" spans="1:22">
      <c r="A57" s="4">
        <v>39610</v>
      </c>
      <c r="B57" s="4" t="s">
        <v>643</v>
      </c>
      <c r="C57" s="7">
        <v>0</v>
      </c>
      <c r="D57" s="7">
        <v>5000000</v>
      </c>
      <c r="E57" s="10">
        <f t="shared" si="20"/>
        <v>5000000</v>
      </c>
      <c r="F57" s="1">
        <v>0</v>
      </c>
      <c r="G57" s="16">
        <f t="shared" si="19"/>
        <v>5000000</v>
      </c>
      <c r="H57" s="1">
        <v>-5000000</v>
      </c>
      <c r="I57" s="16">
        <v>5000000</v>
      </c>
      <c r="J57" s="16">
        <v>-5000000</v>
      </c>
      <c r="K57" s="16">
        <f t="shared" si="16"/>
        <v>0</v>
      </c>
      <c r="M57" s="41">
        <f t="shared" si="5"/>
        <v>0</v>
      </c>
      <c r="N57" s="41">
        <v>0</v>
      </c>
      <c r="O57" s="1">
        <f t="shared" si="17"/>
        <v>0</v>
      </c>
      <c r="P57" s="41">
        <f t="shared" si="6"/>
        <v>0</v>
      </c>
      <c r="Q57" s="1">
        <v>0</v>
      </c>
      <c r="R57" s="41">
        <f t="shared" si="18"/>
        <v>0</v>
      </c>
      <c r="S57" s="1">
        <v>0</v>
      </c>
      <c r="T57" s="41">
        <f t="shared" si="8"/>
        <v>0</v>
      </c>
      <c r="U57" s="1">
        <v>0</v>
      </c>
      <c r="V57" s="41">
        <f t="shared" si="9"/>
        <v>0</v>
      </c>
    </row>
    <row r="58" spans="1:22">
      <c r="A58" s="4">
        <v>39700</v>
      </c>
      <c r="B58" s="4" t="s">
        <v>579</v>
      </c>
      <c r="C58" s="7">
        <v>1937036.5</v>
      </c>
      <c r="D58" s="7">
        <v>-100000</v>
      </c>
      <c r="E58" s="10">
        <f t="shared" si="20"/>
        <v>1837036.5</v>
      </c>
      <c r="F58" s="1">
        <f>1281015-E58</f>
        <v>-556021.5</v>
      </c>
      <c r="G58" s="16">
        <f t="shared" si="19"/>
        <v>1281015</v>
      </c>
      <c r="H58" s="1">
        <v>-1281015</v>
      </c>
      <c r="I58" s="16">
        <f t="shared" si="15"/>
        <v>0</v>
      </c>
      <c r="K58" s="16">
        <f t="shared" si="16"/>
        <v>0</v>
      </c>
      <c r="M58" s="41">
        <f t="shared" si="5"/>
        <v>0</v>
      </c>
      <c r="N58" s="41">
        <v>0</v>
      </c>
      <c r="O58" s="1">
        <f t="shared" si="17"/>
        <v>0</v>
      </c>
      <c r="P58" s="41">
        <f t="shared" si="6"/>
        <v>0</v>
      </c>
      <c r="Q58" s="1">
        <v>0</v>
      </c>
      <c r="R58" s="41">
        <f t="shared" si="18"/>
        <v>0</v>
      </c>
      <c r="S58" s="1">
        <v>0</v>
      </c>
      <c r="T58" s="41">
        <f t="shared" si="8"/>
        <v>0</v>
      </c>
      <c r="U58" s="1">
        <v>0</v>
      </c>
      <c r="V58" s="41">
        <f t="shared" si="9"/>
        <v>0</v>
      </c>
    </row>
    <row r="59" spans="1:22">
      <c r="A59" s="4">
        <v>39800</v>
      </c>
      <c r="B59" s="4" t="s">
        <v>457</v>
      </c>
      <c r="C59" s="7">
        <v>5000000</v>
      </c>
      <c r="D59" s="7">
        <v>-4960000</v>
      </c>
      <c r="E59" s="10">
        <f t="shared" si="20"/>
        <v>40000</v>
      </c>
      <c r="G59" s="16">
        <f t="shared" si="19"/>
        <v>40000</v>
      </c>
      <c r="I59" s="16">
        <f t="shared" si="15"/>
        <v>40000</v>
      </c>
      <c r="J59" s="1">
        <v>-20000</v>
      </c>
      <c r="K59" s="16">
        <f t="shared" si="16"/>
        <v>20000</v>
      </c>
      <c r="M59" s="41">
        <f t="shared" si="5"/>
        <v>20000</v>
      </c>
      <c r="N59" s="41">
        <v>20000</v>
      </c>
      <c r="O59" s="1">
        <f t="shared" si="17"/>
        <v>0</v>
      </c>
      <c r="P59" s="41">
        <f t="shared" si="6"/>
        <v>20000</v>
      </c>
      <c r="Q59" s="1">
        <v>0</v>
      </c>
      <c r="R59" s="41">
        <f t="shared" si="18"/>
        <v>20000</v>
      </c>
      <c r="S59" s="1">
        <v>0</v>
      </c>
      <c r="T59" s="41">
        <f t="shared" si="8"/>
        <v>20000</v>
      </c>
      <c r="U59" s="1">
        <v>0</v>
      </c>
      <c r="V59" s="41">
        <f t="shared" si="9"/>
        <v>20000</v>
      </c>
    </row>
    <row r="60" spans="1:22">
      <c r="A60" s="4">
        <v>39900</v>
      </c>
      <c r="B60" s="4" t="s">
        <v>580</v>
      </c>
      <c r="C60" s="7">
        <v>263000</v>
      </c>
      <c r="D60" s="7">
        <v>-203000</v>
      </c>
      <c r="E60" s="10">
        <f t="shared" si="20"/>
        <v>60000</v>
      </c>
      <c r="G60" s="16">
        <f t="shared" si="19"/>
        <v>60000</v>
      </c>
      <c r="I60" s="16">
        <v>60000</v>
      </c>
      <c r="K60" s="16">
        <f t="shared" si="16"/>
        <v>60000</v>
      </c>
      <c r="L60" s="1">
        <v>-50000</v>
      </c>
      <c r="M60" s="41">
        <f t="shared" si="5"/>
        <v>10000</v>
      </c>
      <c r="N60" s="41">
        <v>10000</v>
      </c>
      <c r="O60" s="1">
        <f t="shared" si="17"/>
        <v>0</v>
      </c>
      <c r="P60" s="41">
        <f t="shared" si="6"/>
        <v>10000</v>
      </c>
      <c r="Q60" s="1">
        <v>15000</v>
      </c>
      <c r="R60" s="41">
        <f t="shared" si="18"/>
        <v>25000</v>
      </c>
      <c r="S60" s="1">
        <v>0</v>
      </c>
      <c r="T60" s="41">
        <f t="shared" si="8"/>
        <v>25000</v>
      </c>
      <c r="U60" s="1">
        <v>0</v>
      </c>
      <c r="V60" s="41">
        <f t="shared" si="9"/>
        <v>25000</v>
      </c>
    </row>
    <row r="61" spans="1:22">
      <c r="A61" s="4">
        <v>39900</v>
      </c>
      <c r="B61" s="4" t="s">
        <v>581</v>
      </c>
      <c r="C61" s="7">
        <v>600</v>
      </c>
      <c r="E61" s="10">
        <f t="shared" si="20"/>
        <v>600</v>
      </c>
      <c r="G61" s="16">
        <f t="shared" si="19"/>
        <v>600</v>
      </c>
      <c r="I61" s="16">
        <f t="shared" si="15"/>
        <v>600</v>
      </c>
      <c r="K61" s="16">
        <f t="shared" si="16"/>
        <v>600</v>
      </c>
      <c r="M61" s="41">
        <f t="shared" si="5"/>
        <v>600</v>
      </c>
      <c r="N61" s="41">
        <v>600</v>
      </c>
      <c r="O61" s="1">
        <f t="shared" si="17"/>
        <v>0</v>
      </c>
      <c r="P61" s="41">
        <f t="shared" si="6"/>
        <v>600</v>
      </c>
      <c r="Q61" s="1">
        <v>0</v>
      </c>
      <c r="R61" s="41">
        <f t="shared" si="18"/>
        <v>600</v>
      </c>
      <c r="S61" s="1">
        <v>0</v>
      </c>
      <c r="T61" s="41">
        <f t="shared" si="8"/>
        <v>600</v>
      </c>
      <c r="U61" s="1">
        <v>0</v>
      </c>
      <c r="V61" s="41">
        <f t="shared" si="9"/>
        <v>600</v>
      </c>
    </row>
    <row r="62" spans="1:22">
      <c r="A62" s="4">
        <v>39901</v>
      </c>
      <c r="B62" s="4" t="s">
        <v>582</v>
      </c>
      <c r="C62" s="7">
        <v>600</v>
      </c>
      <c r="E62" s="10">
        <f t="shared" si="20"/>
        <v>600</v>
      </c>
      <c r="G62" s="16">
        <f t="shared" si="19"/>
        <v>600</v>
      </c>
      <c r="I62" s="16">
        <f t="shared" si="15"/>
        <v>600</v>
      </c>
      <c r="K62" s="16">
        <f t="shared" si="16"/>
        <v>600</v>
      </c>
      <c r="M62" s="41">
        <f t="shared" si="5"/>
        <v>600</v>
      </c>
      <c r="N62" s="41">
        <v>600</v>
      </c>
      <c r="O62" s="1">
        <f t="shared" si="17"/>
        <v>0</v>
      </c>
      <c r="P62" s="41">
        <f t="shared" si="6"/>
        <v>600</v>
      </c>
      <c r="Q62" s="1">
        <v>0</v>
      </c>
      <c r="R62" s="41">
        <f t="shared" si="18"/>
        <v>600</v>
      </c>
      <c r="S62" s="1">
        <v>0</v>
      </c>
      <c r="T62" s="41">
        <f t="shared" si="8"/>
        <v>600</v>
      </c>
      <c r="U62" s="1">
        <v>40000</v>
      </c>
      <c r="V62" s="41">
        <f t="shared" si="9"/>
        <v>40600</v>
      </c>
    </row>
    <row r="63" spans="1:22">
      <c r="A63" s="4">
        <v>39902</v>
      </c>
      <c r="B63" s="4" t="s">
        <v>583</v>
      </c>
      <c r="C63" s="7">
        <v>25600</v>
      </c>
      <c r="D63" s="7">
        <v>-5600</v>
      </c>
      <c r="E63" s="10">
        <f t="shared" si="20"/>
        <v>20000</v>
      </c>
      <c r="G63" s="16">
        <f t="shared" si="19"/>
        <v>20000</v>
      </c>
      <c r="I63" s="16">
        <f t="shared" si="15"/>
        <v>20000</v>
      </c>
      <c r="J63" s="1">
        <v>-18000</v>
      </c>
      <c r="K63" s="16">
        <f t="shared" si="16"/>
        <v>2000</v>
      </c>
      <c r="L63" s="1">
        <v>-2000</v>
      </c>
      <c r="M63" s="41">
        <f t="shared" si="5"/>
        <v>0</v>
      </c>
      <c r="N63" s="41">
        <v>100</v>
      </c>
      <c r="O63" s="1">
        <f t="shared" si="17"/>
        <v>100</v>
      </c>
      <c r="P63" s="41">
        <f t="shared" si="6"/>
        <v>100</v>
      </c>
      <c r="Q63" s="1">
        <v>0</v>
      </c>
      <c r="R63" s="41">
        <f t="shared" si="18"/>
        <v>100</v>
      </c>
      <c r="S63" s="1">
        <v>0</v>
      </c>
      <c r="T63" s="41">
        <f t="shared" si="8"/>
        <v>100</v>
      </c>
      <c r="U63" s="1">
        <v>0</v>
      </c>
      <c r="V63" s="41">
        <f t="shared" si="9"/>
        <v>100</v>
      </c>
    </row>
    <row r="64" spans="1:22">
      <c r="A64" s="43">
        <v>39904</v>
      </c>
      <c r="B64" s="43" t="s">
        <v>679</v>
      </c>
      <c r="E64" s="10"/>
      <c r="G64" s="16"/>
      <c r="I64" s="16"/>
      <c r="K64" s="16">
        <v>0</v>
      </c>
      <c r="L64" s="1">
        <v>32346.57</v>
      </c>
      <c r="M64" s="41">
        <f t="shared" si="5"/>
        <v>32346.57</v>
      </c>
      <c r="N64" s="41">
        <v>129386.29</v>
      </c>
      <c r="O64" s="1">
        <f t="shared" si="17"/>
        <v>97039.72</v>
      </c>
      <c r="P64" s="41">
        <f t="shared" si="6"/>
        <v>129386.29000000001</v>
      </c>
      <c r="Q64" s="1">
        <v>0</v>
      </c>
      <c r="R64" s="41">
        <f t="shared" si="18"/>
        <v>129386.29000000001</v>
      </c>
      <c r="S64" s="1">
        <f>45000-R64</f>
        <v>-84386.290000000008</v>
      </c>
      <c r="T64" s="41">
        <f t="shared" si="8"/>
        <v>45000</v>
      </c>
      <c r="U64" s="1">
        <f>45500-T64</f>
        <v>500</v>
      </c>
      <c r="V64" s="41">
        <f t="shared" si="9"/>
        <v>45500</v>
      </c>
    </row>
    <row r="65" spans="1:22" s="2" customFormat="1">
      <c r="A65" s="5"/>
      <c r="B65" s="5" t="s">
        <v>67</v>
      </c>
      <c r="C65" s="8">
        <f t="shared" ref="C65:I65" si="21">SUM(C11:C63)</f>
        <v>8831947.2100000009</v>
      </c>
      <c r="D65" s="8">
        <f t="shared" si="21"/>
        <v>10404497.220000001</v>
      </c>
      <c r="E65" s="8">
        <f t="shared" si="21"/>
        <v>19236444.43</v>
      </c>
      <c r="F65" s="8">
        <f t="shared" si="21"/>
        <v>-1292021.5</v>
      </c>
      <c r="G65" s="8">
        <f t="shared" si="21"/>
        <v>17944422.93</v>
      </c>
      <c r="H65" s="8">
        <f t="shared" si="21"/>
        <v>-5451015</v>
      </c>
      <c r="I65" s="8">
        <f t="shared" si="21"/>
        <v>17493407.93</v>
      </c>
      <c r="J65" s="8">
        <f>SUM(J11:J63)</f>
        <v>-5604060.0999999996</v>
      </c>
      <c r="K65" s="8">
        <f>SUM(K11:K64)</f>
        <v>11889347.83</v>
      </c>
      <c r="L65" s="8">
        <f>SUM(L11:L64)</f>
        <v>-338351.25999999995</v>
      </c>
      <c r="M65" s="8">
        <f>SUM(M11:M64)</f>
        <v>11550996.57</v>
      </c>
      <c r="N65" s="8"/>
      <c r="O65" s="3"/>
      <c r="P65" s="8">
        <f>SUM(P11:P64)</f>
        <v>11393790.599999998</v>
      </c>
      <c r="Q65" s="8">
        <f t="shared" ref="Q65:V65" si="22">SUM(Q11:Q64)</f>
        <v>267588.24</v>
      </c>
      <c r="R65" s="8">
        <f t="shared" si="22"/>
        <v>11661378.84</v>
      </c>
      <c r="S65" s="8">
        <f t="shared" si="22"/>
        <v>300341.08999999997</v>
      </c>
      <c r="T65" s="8">
        <f t="shared" si="22"/>
        <v>11961719.93</v>
      </c>
      <c r="U65" s="8">
        <f t="shared" si="22"/>
        <v>175338.7</v>
      </c>
      <c r="V65" s="8">
        <f t="shared" si="22"/>
        <v>12137058.629999999</v>
      </c>
    </row>
    <row r="66" spans="1:22">
      <c r="A66" s="4">
        <v>42000</v>
      </c>
      <c r="B66" s="4" t="s">
        <v>111</v>
      </c>
      <c r="C66" s="7">
        <v>9010000.0500000007</v>
      </c>
      <c r="D66" s="7">
        <v>-500000</v>
      </c>
      <c r="E66" s="10">
        <f t="shared" ref="E66:E79" si="23">C66+D66</f>
        <v>8510000.0500000007</v>
      </c>
      <c r="F66" s="1">
        <v>-485000</v>
      </c>
      <c r="G66" s="16">
        <f t="shared" si="19"/>
        <v>8025000.0500000007</v>
      </c>
      <c r="H66" s="1">
        <v>-246612.87</v>
      </c>
      <c r="I66" s="16">
        <f t="shared" ref="I66:I79" si="24">G66+H66</f>
        <v>7778387.1800000006</v>
      </c>
      <c r="J66" s="1">
        <f>8620000-I66-240000</f>
        <v>601612.81999999937</v>
      </c>
      <c r="K66" s="16">
        <f t="shared" ref="K66:K79" si="25">I66+J66</f>
        <v>8380000</v>
      </c>
      <c r="L66" s="1">
        <f>9261954.82-K66+46000-47428.92-8000-693.36</f>
        <v>871832.54000000027</v>
      </c>
      <c r="M66" s="41">
        <f t="shared" si="5"/>
        <v>9251832.540000001</v>
      </c>
      <c r="N66" s="41">
        <v>9277160.2899999991</v>
      </c>
      <c r="O66" s="1">
        <f t="shared" si="17"/>
        <v>25327.749999998137</v>
      </c>
      <c r="P66" s="41">
        <f t="shared" si="6"/>
        <v>9277160.2899999991</v>
      </c>
      <c r="Q66" s="1">
        <f>9068930-P66+130000</f>
        <v>-78230.289999999106</v>
      </c>
      <c r="R66" s="41">
        <f t="shared" ref="R66:R79" si="26">P66+Q66</f>
        <v>9198930</v>
      </c>
      <c r="S66" s="1">
        <f>9464054.78-R66-159621.47</f>
        <v>105503.30999999933</v>
      </c>
      <c r="T66" s="41">
        <f t="shared" si="8"/>
        <v>9304433.3099999987</v>
      </c>
      <c r="U66" s="1">
        <f>9500000-T66</f>
        <v>195566.69000000134</v>
      </c>
      <c r="V66" s="41">
        <f t="shared" si="9"/>
        <v>9500000</v>
      </c>
    </row>
    <row r="67" spans="1:22">
      <c r="A67" s="43">
        <v>42020</v>
      </c>
      <c r="B67" s="43" t="s">
        <v>895</v>
      </c>
      <c r="E67" s="10"/>
      <c r="G67" s="16"/>
      <c r="I67" s="16"/>
      <c r="K67" s="16"/>
      <c r="M67" s="41"/>
      <c r="N67" s="41"/>
      <c r="P67" s="41"/>
      <c r="R67" s="41">
        <v>0</v>
      </c>
      <c r="S67" s="1">
        <v>15000</v>
      </c>
      <c r="T67" s="41">
        <f t="shared" si="8"/>
        <v>15000</v>
      </c>
      <c r="U67" s="1">
        <f>43000-T67</f>
        <v>28000</v>
      </c>
      <c r="V67" s="41">
        <f t="shared" ref="V67:V94" si="27">T67+U67</f>
        <v>43000</v>
      </c>
    </row>
    <row r="68" spans="1:22">
      <c r="A68" s="43">
        <v>42090</v>
      </c>
      <c r="B68" s="43" t="s">
        <v>896</v>
      </c>
      <c r="E68" s="10"/>
      <c r="G68" s="16"/>
      <c r="I68" s="16"/>
      <c r="K68" s="16"/>
      <c r="M68" s="41"/>
      <c r="N68" s="41"/>
      <c r="P68" s="41"/>
      <c r="R68" s="41">
        <v>0</v>
      </c>
      <c r="S68" s="1">
        <v>4000</v>
      </c>
      <c r="T68" s="41">
        <f t="shared" si="8"/>
        <v>4000</v>
      </c>
      <c r="U68" s="1">
        <v>0</v>
      </c>
      <c r="V68" s="41">
        <f t="shared" si="27"/>
        <v>4000</v>
      </c>
    </row>
    <row r="69" spans="1:22">
      <c r="A69" s="43">
        <v>45000</v>
      </c>
      <c r="B69" s="43" t="s">
        <v>852</v>
      </c>
      <c r="E69" s="10"/>
      <c r="G69" s="16"/>
      <c r="I69" s="16"/>
      <c r="K69" s="16"/>
      <c r="M69" s="41"/>
      <c r="N69" s="41"/>
      <c r="P69" s="41"/>
      <c r="R69" s="41">
        <v>0</v>
      </c>
      <c r="S69" s="1">
        <v>200000</v>
      </c>
      <c r="T69" s="41">
        <f t="shared" si="8"/>
        <v>200000</v>
      </c>
      <c r="U69" s="1">
        <f>280000-T69</f>
        <v>80000</v>
      </c>
      <c r="V69" s="41">
        <f t="shared" si="27"/>
        <v>280000</v>
      </c>
    </row>
    <row r="70" spans="1:22" s="2" customFormat="1">
      <c r="A70" s="4">
        <v>45002</v>
      </c>
      <c r="B70" s="4" t="s">
        <v>584</v>
      </c>
      <c r="C70" s="7">
        <v>0</v>
      </c>
      <c r="D70" s="7">
        <v>1065000</v>
      </c>
      <c r="E70" s="10">
        <f t="shared" si="23"/>
        <v>1065000</v>
      </c>
      <c r="F70" s="3"/>
      <c r="G70" s="16">
        <f t="shared" si="19"/>
        <v>1065000</v>
      </c>
      <c r="H70" s="16">
        <f>967000-G70</f>
        <v>-98000</v>
      </c>
      <c r="I70" s="16">
        <f t="shared" si="24"/>
        <v>967000</v>
      </c>
      <c r="J70" s="16">
        <f>500000+200000+94000+31000+120000+11000+30000-I70</f>
        <v>19000</v>
      </c>
      <c r="K70" s="16">
        <f t="shared" si="25"/>
        <v>986000</v>
      </c>
      <c r="L70" s="41">
        <f>-5032+8000</f>
        <v>2968</v>
      </c>
      <c r="M70" s="41">
        <f t="shared" si="5"/>
        <v>988968</v>
      </c>
      <c r="N70" s="41">
        <f>932320+33985+92520+26017+200000+13140+10502.8</f>
        <v>1308484.8</v>
      </c>
      <c r="O70" s="1">
        <f t="shared" si="17"/>
        <v>319516.80000000005</v>
      </c>
      <c r="P70" s="41">
        <f t="shared" si="6"/>
        <v>1308484.8</v>
      </c>
      <c r="Q70" s="41">
        <f>968790+99920+233000+26020+73080+25000-P70</f>
        <v>117325.19999999995</v>
      </c>
      <c r="R70" s="41">
        <f t="shared" si="26"/>
        <v>1425810</v>
      </c>
      <c r="S70" s="41">
        <f>1227740+160000+103290+22730+39300+566510-R70</f>
        <v>693760</v>
      </c>
      <c r="T70" s="41">
        <f t="shared" ref="T70:T79" si="28">R70+S70</f>
        <v>2119570</v>
      </c>
      <c r="U70" s="41">
        <f>2253760-T70</f>
        <v>134190</v>
      </c>
      <c r="V70" s="41">
        <f t="shared" si="27"/>
        <v>2253760</v>
      </c>
    </row>
    <row r="71" spans="1:22" s="2" customFormat="1">
      <c r="A71" s="4">
        <v>45003</v>
      </c>
      <c r="B71" s="43" t="s">
        <v>884</v>
      </c>
      <c r="C71" s="7">
        <v>0</v>
      </c>
      <c r="D71" s="7">
        <v>120000</v>
      </c>
      <c r="E71" s="10">
        <f t="shared" si="23"/>
        <v>120000</v>
      </c>
      <c r="F71" s="3"/>
      <c r="G71" s="16">
        <f t="shared" si="19"/>
        <v>120000</v>
      </c>
      <c r="H71" s="16">
        <v>12000</v>
      </c>
      <c r="I71" s="16">
        <f t="shared" si="24"/>
        <v>132000</v>
      </c>
      <c r="J71" s="16">
        <f>105000-I71</f>
        <v>-27000</v>
      </c>
      <c r="K71" s="16">
        <f t="shared" si="25"/>
        <v>105000</v>
      </c>
      <c r="L71" s="41">
        <v>45000</v>
      </c>
      <c r="M71" s="41">
        <f t="shared" ref="M71:M79" si="29">K71+L71</f>
        <v>150000</v>
      </c>
      <c r="N71" s="41">
        <v>97419.41</v>
      </c>
      <c r="O71" s="1">
        <f t="shared" si="17"/>
        <v>-52580.59</v>
      </c>
      <c r="P71" s="41">
        <f t="shared" si="6"/>
        <v>97419.41</v>
      </c>
      <c r="Q71" s="41">
        <f>95000-P71</f>
        <v>-2419.4100000000035</v>
      </c>
      <c r="R71" s="41">
        <f t="shared" si="26"/>
        <v>95000</v>
      </c>
      <c r="S71" s="41">
        <f>0-R71</f>
        <v>-95000</v>
      </c>
      <c r="T71" s="41">
        <f t="shared" si="28"/>
        <v>0</v>
      </c>
      <c r="U71" s="41">
        <v>0</v>
      </c>
      <c r="V71" s="41">
        <f t="shared" si="27"/>
        <v>0</v>
      </c>
    </row>
    <row r="72" spans="1:22" s="2" customFormat="1">
      <c r="A72" s="43">
        <v>45050</v>
      </c>
      <c r="B72" s="43" t="s">
        <v>947</v>
      </c>
      <c r="C72" s="7"/>
      <c r="D72" s="7"/>
      <c r="E72" s="10"/>
      <c r="F72" s="3"/>
      <c r="G72" s="16"/>
      <c r="H72" s="16"/>
      <c r="I72" s="16"/>
      <c r="J72" s="16"/>
      <c r="K72" s="16"/>
      <c r="L72" s="41"/>
      <c r="M72" s="41"/>
      <c r="N72" s="41"/>
      <c r="O72" s="1"/>
      <c r="P72" s="41">
        <v>0</v>
      </c>
      <c r="Q72" s="41">
        <v>38893.06</v>
      </c>
      <c r="R72" s="41">
        <f t="shared" si="26"/>
        <v>38893.06</v>
      </c>
      <c r="S72" s="41">
        <f>0-R72</f>
        <v>-38893.06</v>
      </c>
      <c r="T72" s="41">
        <f t="shared" si="28"/>
        <v>0</v>
      </c>
      <c r="U72" s="41">
        <v>0</v>
      </c>
      <c r="V72" s="41">
        <f t="shared" si="27"/>
        <v>0</v>
      </c>
    </row>
    <row r="73" spans="1:22">
      <c r="A73" s="4">
        <v>45060</v>
      </c>
      <c r="B73" s="43" t="s">
        <v>883</v>
      </c>
      <c r="C73" s="7">
        <v>0</v>
      </c>
      <c r="D73" s="7">
        <v>400000</v>
      </c>
      <c r="E73" s="10">
        <f t="shared" si="23"/>
        <v>400000</v>
      </c>
      <c r="G73" s="16">
        <f t="shared" si="19"/>
        <v>400000</v>
      </c>
      <c r="H73" s="1">
        <v>-113000</v>
      </c>
      <c r="I73" s="16">
        <f t="shared" si="24"/>
        <v>287000</v>
      </c>
      <c r="J73" s="1">
        <v>-257000</v>
      </c>
      <c r="K73" s="16">
        <f t="shared" si="25"/>
        <v>30000</v>
      </c>
      <c r="M73" s="41">
        <f t="shared" si="29"/>
        <v>30000</v>
      </c>
      <c r="N73" s="41">
        <v>15000</v>
      </c>
      <c r="O73" s="1">
        <f t="shared" si="17"/>
        <v>-15000</v>
      </c>
      <c r="P73" s="41">
        <f t="shared" ref="P73:P79" si="30">M73+O73</f>
        <v>15000</v>
      </c>
      <c r="Q73" s="1">
        <f>50000-P73</f>
        <v>35000</v>
      </c>
      <c r="R73" s="41">
        <f t="shared" si="26"/>
        <v>50000</v>
      </c>
      <c r="S73" s="1">
        <f>40000-R73</f>
        <v>-10000</v>
      </c>
      <c r="T73" s="41">
        <f t="shared" si="28"/>
        <v>40000</v>
      </c>
      <c r="U73" s="1">
        <v>30000</v>
      </c>
      <c r="V73" s="41">
        <f t="shared" si="27"/>
        <v>70000</v>
      </c>
    </row>
    <row r="74" spans="1:22">
      <c r="A74" s="43">
        <v>45100</v>
      </c>
      <c r="B74" s="43" t="s">
        <v>717</v>
      </c>
      <c r="E74" s="10"/>
      <c r="G74" s="16"/>
      <c r="I74" s="16"/>
      <c r="K74" s="16">
        <v>0</v>
      </c>
      <c r="L74" s="1">
        <v>47428.92</v>
      </c>
      <c r="M74" s="41">
        <f t="shared" si="29"/>
        <v>47428.92</v>
      </c>
      <c r="N74" s="41">
        <v>40000</v>
      </c>
      <c r="O74" s="1">
        <f t="shared" si="17"/>
        <v>-7428.9199999999983</v>
      </c>
      <c r="P74" s="41">
        <f t="shared" si="30"/>
        <v>40000</v>
      </c>
      <c r="Q74" s="1">
        <f>100000-P74</f>
        <v>60000</v>
      </c>
      <c r="R74" s="41">
        <f t="shared" si="26"/>
        <v>100000</v>
      </c>
      <c r="S74" s="1">
        <f>70000-R74</f>
        <v>-30000</v>
      </c>
      <c r="T74" s="41">
        <f t="shared" si="28"/>
        <v>70000</v>
      </c>
      <c r="U74" s="1">
        <v>120000</v>
      </c>
      <c r="V74" s="41">
        <f t="shared" si="27"/>
        <v>190000</v>
      </c>
    </row>
    <row r="75" spans="1:22">
      <c r="A75" s="4">
        <v>46100</v>
      </c>
      <c r="B75" s="43" t="s">
        <v>929</v>
      </c>
      <c r="C75" s="7">
        <v>0</v>
      </c>
      <c r="D75" s="7">
        <v>25000</v>
      </c>
      <c r="E75" s="10">
        <f t="shared" si="23"/>
        <v>25000</v>
      </c>
      <c r="G75" s="16">
        <f t="shared" si="19"/>
        <v>25000</v>
      </c>
      <c r="H75" s="1">
        <v>0</v>
      </c>
      <c r="I75" s="16">
        <f t="shared" si="24"/>
        <v>25000</v>
      </c>
      <c r="K75" s="16">
        <f t="shared" si="25"/>
        <v>25000</v>
      </c>
      <c r="M75" s="41">
        <f t="shared" si="29"/>
        <v>25000</v>
      </c>
      <c r="N75" s="41">
        <v>25000</v>
      </c>
      <c r="O75" s="1">
        <f t="shared" si="17"/>
        <v>0</v>
      </c>
      <c r="P75" s="41">
        <f t="shared" si="30"/>
        <v>25000</v>
      </c>
      <c r="Q75" s="1">
        <v>0</v>
      </c>
      <c r="R75" s="41">
        <f t="shared" si="26"/>
        <v>25000</v>
      </c>
      <c r="S75" s="1">
        <f>50000-R75</f>
        <v>25000</v>
      </c>
      <c r="T75" s="41">
        <f t="shared" si="28"/>
        <v>50000</v>
      </c>
      <c r="U75" s="1">
        <f>200000-T75</f>
        <v>150000</v>
      </c>
      <c r="V75" s="41">
        <f t="shared" si="27"/>
        <v>200000</v>
      </c>
    </row>
    <row r="76" spans="1:22">
      <c r="A76" s="43">
        <v>46102</v>
      </c>
      <c r="B76" s="43" t="s">
        <v>818</v>
      </c>
      <c r="E76" s="10"/>
      <c r="G76" s="16"/>
      <c r="I76" s="16"/>
      <c r="K76" s="16"/>
      <c r="M76" s="41"/>
      <c r="N76" s="41"/>
      <c r="P76" s="41">
        <v>0</v>
      </c>
      <c r="Q76" s="1">
        <f>35000+73:73</f>
        <v>70000</v>
      </c>
      <c r="R76" s="41">
        <f t="shared" si="26"/>
        <v>70000</v>
      </c>
      <c r="S76" s="1">
        <f>50919-R76</f>
        <v>-19081</v>
      </c>
      <c r="T76" s="41">
        <f t="shared" si="28"/>
        <v>50919</v>
      </c>
      <c r="U76" s="1">
        <v>-50919</v>
      </c>
      <c r="V76" s="41">
        <f t="shared" si="27"/>
        <v>0</v>
      </c>
    </row>
    <row r="77" spans="1:22">
      <c r="A77" s="43">
        <v>46150</v>
      </c>
      <c r="B77" s="43" t="s">
        <v>819</v>
      </c>
      <c r="E77" s="10"/>
      <c r="G77" s="16"/>
      <c r="I77" s="16"/>
      <c r="K77" s="16"/>
      <c r="M77" s="41"/>
      <c r="N77" s="41"/>
      <c r="P77" s="41">
        <v>0</v>
      </c>
      <c r="Q77" s="1">
        <v>38893.06</v>
      </c>
      <c r="R77" s="41">
        <f t="shared" si="26"/>
        <v>38893.06</v>
      </c>
      <c r="S77" s="1">
        <f>-R77</f>
        <v>-38893.06</v>
      </c>
      <c r="T77" s="41">
        <f t="shared" si="28"/>
        <v>0</v>
      </c>
      <c r="U77" s="1">
        <v>0</v>
      </c>
      <c r="V77" s="41">
        <f t="shared" si="27"/>
        <v>0</v>
      </c>
    </row>
    <row r="78" spans="1:22">
      <c r="A78" s="4">
        <v>47000</v>
      </c>
      <c r="B78" s="4" t="s">
        <v>585</v>
      </c>
      <c r="C78" s="7">
        <v>43000</v>
      </c>
      <c r="E78" s="10">
        <f t="shared" si="23"/>
        <v>43000</v>
      </c>
      <c r="G78" s="16">
        <f t="shared" si="19"/>
        <v>43000</v>
      </c>
      <c r="H78" s="1">
        <v>0</v>
      </c>
      <c r="I78" s="16">
        <f t="shared" si="24"/>
        <v>43000</v>
      </c>
      <c r="J78" s="1">
        <v>5000</v>
      </c>
      <c r="K78" s="16">
        <f t="shared" si="25"/>
        <v>48000</v>
      </c>
      <c r="M78" s="41">
        <f t="shared" si="29"/>
        <v>48000</v>
      </c>
      <c r="N78" s="41">
        <v>50000</v>
      </c>
      <c r="O78" s="1">
        <f t="shared" si="17"/>
        <v>2000</v>
      </c>
      <c r="P78" s="41">
        <f t="shared" si="30"/>
        <v>50000</v>
      </c>
      <c r="Q78" s="1">
        <v>0</v>
      </c>
      <c r="R78" s="41">
        <f t="shared" si="26"/>
        <v>50000</v>
      </c>
      <c r="S78" s="1">
        <v>-10000</v>
      </c>
      <c r="T78" s="41">
        <f t="shared" si="28"/>
        <v>40000</v>
      </c>
      <c r="U78" s="1">
        <v>0</v>
      </c>
      <c r="V78" s="41">
        <f t="shared" si="27"/>
        <v>40000</v>
      </c>
    </row>
    <row r="79" spans="1:22">
      <c r="A79" s="4">
        <v>48000</v>
      </c>
      <c r="B79" s="4" t="s">
        <v>586</v>
      </c>
      <c r="C79" s="7">
        <v>3005.06</v>
      </c>
      <c r="E79" s="10">
        <f t="shared" si="23"/>
        <v>3005.06</v>
      </c>
      <c r="G79" s="16">
        <f t="shared" si="19"/>
        <v>3005.06</v>
      </c>
      <c r="H79" s="1">
        <v>0</v>
      </c>
      <c r="I79" s="16">
        <f t="shared" si="24"/>
        <v>3005.06</v>
      </c>
      <c r="J79" s="1">
        <v>-461.84</v>
      </c>
      <c r="K79" s="16">
        <f t="shared" si="25"/>
        <v>2543.2199999999998</v>
      </c>
      <c r="L79" s="1">
        <f>-1543.22+693.36</f>
        <v>-849.86</v>
      </c>
      <c r="M79" s="41">
        <f t="shared" si="29"/>
        <v>1693.3599999999997</v>
      </c>
      <c r="N79" s="41"/>
      <c r="O79" s="1">
        <f t="shared" si="17"/>
        <v>-1693.3599999999997</v>
      </c>
      <c r="P79" s="41">
        <f t="shared" si="30"/>
        <v>0</v>
      </c>
      <c r="Q79" s="1">
        <v>1500</v>
      </c>
      <c r="R79" s="41">
        <f t="shared" si="26"/>
        <v>1500</v>
      </c>
      <c r="S79" s="1">
        <v>0</v>
      </c>
      <c r="T79" s="41">
        <f t="shared" si="28"/>
        <v>1500</v>
      </c>
      <c r="U79" s="1">
        <v>1500</v>
      </c>
      <c r="V79" s="41">
        <f t="shared" si="27"/>
        <v>3000</v>
      </c>
    </row>
    <row r="80" spans="1:22" s="2" customFormat="1">
      <c r="A80" s="5"/>
      <c r="B80" s="5" t="s">
        <v>66</v>
      </c>
      <c r="C80" s="8">
        <f t="shared" ref="C80:V80" si="31">SUM(C66:C79)</f>
        <v>9056005.1100000013</v>
      </c>
      <c r="D80" s="8">
        <f t="shared" si="31"/>
        <v>1110000</v>
      </c>
      <c r="E80" s="8">
        <f t="shared" si="31"/>
        <v>10166005.110000001</v>
      </c>
      <c r="F80" s="8">
        <f t="shared" si="31"/>
        <v>-485000</v>
      </c>
      <c r="G80" s="8">
        <f t="shared" si="31"/>
        <v>9681005.1100000013</v>
      </c>
      <c r="H80" s="8">
        <f t="shared" si="31"/>
        <v>-445612.87</v>
      </c>
      <c r="I80" s="8">
        <f t="shared" si="31"/>
        <v>9235392.2400000002</v>
      </c>
      <c r="J80" s="8">
        <f t="shared" si="31"/>
        <v>341150.97999999934</v>
      </c>
      <c r="K80" s="8">
        <f t="shared" si="31"/>
        <v>9576543.2200000007</v>
      </c>
      <c r="L80" s="8">
        <f t="shared" si="31"/>
        <v>966379.60000000033</v>
      </c>
      <c r="M80" s="8">
        <f t="shared" si="31"/>
        <v>10542922.82</v>
      </c>
      <c r="N80" s="8"/>
      <c r="O80" s="3"/>
      <c r="P80" s="8">
        <f t="shared" si="31"/>
        <v>10813064.5</v>
      </c>
      <c r="Q80" s="8">
        <f t="shared" si="31"/>
        <v>280961.62000000081</v>
      </c>
      <c r="R80" s="8">
        <f t="shared" si="31"/>
        <v>11094026.120000001</v>
      </c>
      <c r="S80" s="8">
        <f t="shared" si="31"/>
        <v>801396.18999999925</v>
      </c>
      <c r="T80" s="8">
        <f t="shared" si="31"/>
        <v>11895422.309999999</v>
      </c>
      <c r="U80" s="8">
        <f t="shared" si="31"/>
        <v>688337.69000000134</v>
      </c>
      <c r="V80" s="8">
        <f t="shared" si="31"/>
        <v>12583760</v>
      </c>
    </row>
    <row r="81" spans="1:22">
      <c r="A81" s="4">
        <v>52000</v>
      </c>
      <c r="B81" s="43" t="s">
        <v>909</v>
      </c>
      <c r="C81" s="7">
        <v>0</v>
      </c>
      <c r="D81" s="7">
        <v>200000</v>
      </c>
      <c r="E81" s="10">
        <f>C81+D81</f>
        <v>200000</v>
      </c>
      <c r="F81" s="1">
        <v>-140000</v>
      </c>
      <c r="G81" s="16">
        <f t="shared" si="19"/>
        <v>60000</v>
      </c>
      <c r="H81" s="1">
        <v>-30000</v>
      </c>
      <c r="I81" s="16">
        <f>G81+H81</f>
        <v>30000</v>
      </c>
      <c r="K81" s="16">
        <f t="shared" ref="K81:K86" si="32">I81+J81</f>
        <v>30000</v>
      </c>
      <c r="L81" s="1">
        <v>-4200</v>
      </c>
      <c r="M81" s="41">
        <f t="shared" ref="M81:M86" si="33">K81+L81</f>
        <v>25800</v>
      </c>
      <c r="N81" s="41">
        <v>10000</v>
      </c>
      <c r="O81" s="1">
        <f t="shared" si="17"/>
        <v>-15800</v>
      </c>
      <c r="P81" s="41">
        <f t="shared" ref="P81:P86" si="34">M81+O81</f>
        <v>10000</v>
      </c>
      <c r="Q81" s="1">
        <v>-5000</v>
      </c>
      <c r="R81" s="41">
        <f t="shared" ref="R81:R86" si="35">P81+Q81</f>
        <v>5000</v>
      </c>
      <c r="S81" s="1">
        <f>1000-R81</f>
        <v>-4000</v>
      </c>
      <c r="T81" s="41">
        <f t="shared" ref="T81:T86" si="36">R81+S81</f>
        <v>1000</v>
      </c>
      <c r="U81" s="1">
        <f>4000-T81</f>
        <v>3000</v>
      </c>
      <c r="V81" s="41">
        <f t="shared" si="27"/>
        <v>4000</v>
      </c>
    </row>
    <row r="82" spans="1:22">
      <c r="A82" s="4">
        <v>53400</v>
      </c>
      <c r="B82" s="4" t="s">
        <v>667</v>
      </c>
      <c r="E82" s="10"/>
      <c r="G82" s="16"/>
      <c r="I82" s="16">
        <v>0</v>
      </c>
      <c r="J82" s="1">
        <v>134000</v>
      </c>
      <c r="K82" s="16">
        <f t="shared" si="32"/>
        <v>134000</v>
      </c>
      <c r="L82" s="1">
        <v>-134000</v>
      </c>
      <c r="M82" s="41">
        <f t="shared" si="33"/>
        <v>0</v>
      </c>
      <c r="N82" s="41"/>
      <c r="O82" s="1">
        <f t="shared" si="17"/>
        <v>0</v>
      </c>
      <c r="P82" s="41">
        <f t="shared" si="34"/>
        <v>0</v>
      </c>
      <c r="Q82" s="1">
        <v>0</v>
      </c>
      <c r="R82" s="41">
        <f t="shared" si="35"/>
        <v>0</v>
      </c>
      <c r="S82" s="1">
        <v>0</v>
      </c>
      <c r="T82" s="41">
        <f t="shared" si="36"/>
        <v>0</v>
      </c>
      <c r="U82" s="1">
        <v>0</v>
      </c>
      <c r="V82" s="41">
        <f t="shared" si="27"/>
        <v>0</v>
      </c>
    </row>
    <row r="83" spans="1:22" s="2" customFormat="1">
      <c r="A83" s="4">
        <v>54100</v>
      </c>
      <c r="B83" s="4" t="s">
        <v>587</v>
      </c>
      <c r="C83" s="7">
        <v>0</v>
      </c>
      <c r="D83" s="7">
        <v>60000</v>
      </c>
      <c r="E83" s="10">
        <f>C83+D83</f>
        <v>60000</v>
      </c>
      <c r="F83" s="3"/>
      <c r="G83" s="16">
        <f t="shared" si="19"/>
        <v>60000</v>
      </c>
      <c r="H83" s="3"/>
      <c r="I83" s="16">
        <f>G83+H83</f>
        <v>60000</v>
      </c>
      <c r="J83" s="16">
        <v>-40000</v>
      </c>
      <c r="K83" s="16">
        <f t="shared" si="32"/>
        <v>20000</v>
      </c>
      <c r="L83" s="3"/>
      <c r="M83" s="41">
        <f t="shared" si="33"/>
        <v>20000</v>
      </c>
      <c r="N83" s="41">
        <v>38000</v>
      </c>
      <c r="O83" s="1">
        <f t="shared" ref="O83:O86" si="37">N83-M83</f>
        <v>18000</v>
      </c>
      <c r="P83" s="41">
        <f t="shared" si="34"/>
        <v>38000</v>
      </c>
      <c r="Q83" s="41">
        <v>0</v>
      </c>
      <c r="R83" s="41">
        <f t="shared" si="35"/>
        <v>38000</v>
      </c>
      <c r="S83" s="41">
        <f>15000-R83</f>
        <v>-23000</v>
      </c>
      <c r="T83" s="41">
        <f t="shared" si="36"/>
        <v>15000</v>
      </c>
      <c r="U83" s="41">
        <v>0</v>
      </c>
      <c r="V83" s="41">
        <f t="shared" si="27"/>
        <v>15000</v>
      </c>
    </row>
    <row r="84" spans="1:22">
      <c r="A84" s="4">
        <v>55000</v>
      </c>
      <c r="B84" s="4" t="s">
        <v>588</v>
      </c>
      <c r="C84" s="7">
        <v>370000</v>
      </c>
      <c r="E84" s="10">
        <f>C84+D84</f>
        <v>370000</v>
      </c>
      <c r="G84" s="16">
        <f t="shared" si="19"/>
        <v>370000</v>
      </c>
      <c r="I84" s="16">
        <f>G84+H84</f>
        <v>370000</v>
      </c>
      <c r="J84" s="1">
        <v>30000</v>
      </c>
      <c r="K84" s="16">
        <f t="shared" si="32"/>
        <v>400000</v>
      </c>
      <c r="L84" s="1">
        <v>-50000</v>
      </c>
      <c r="M84" s="41">
        <f t="shared" si="33"/>
        <v>350000</v>
      </c>
      <c r="N84" s="41">
        <v>350000</v>
      </c>
      <c r="O84" s="1">
        <f t="shared" si="37"/>
        <v>0</v>
      </c>
      <c r="P84" s="41">
        <f t="shared" si="34"/>
        <v>350000</v>
      </c>
      <c r="Q84" s="1">
        <f>60000-P84</f>
        <v>-290000</v>
      </c>
      <c r="R84" s="41">
        <f t="shared" si="35"/>
        <v>60000</v>
      </c>
      <c r="S84" s="1">
        <v>0</v>
      </c>
      <c r="T84" s="41">
        <f t="shared" si="36"/>
        <v>60000</v>
      </c>
      <c r="U84" s="1">
        <v>0</v>
      </c>
      <c r="V84" s="41">
        <f t="shared" si="27"/>
        <v>60000</v>
      </c>
    </row>
    <row r="85" spans="1:22">
      <c r="A85" s="43">
        <v>55100</v>
      </c>
      <c r="B85" s="43" t="s">
        <v>820</v>
      </c>
      <c r="E85" s="10"/>
      <c r="G85" s="16"/>
      <c r="I85" s="16"/>
      <c r="K85" s="16"/>
      <c r="M85" s="41"/>
      <c r="N85" s="41"/>
      <c r="P85" s="41">
        <v>0</v>
      </c>
      <c r="Q85" s="1">
        <v>315000</v>
      </c>
      <c r="R85" s="41">
        <f t="shared" si="35"/>
        <v>315000</v>
      </c>
      <c r="S85" s="1">
        <v>0</v>
      </c>
      <c r="T85" s="41">
        <f t="shared" si="36"/>
        <v>315000</v>
      </c>
      <c r="U85" s="1">
        <v>0</v>
      </c>
      <c r="V85" s="41">
        <f t="shared" si="27"/>
        <v>315000</v>
      </c>
    </row>
    <row r="86" spans="1:22">
      <c r="A86" s="4">
        <v>55900</v>
      </c>
      <c r="B86" s="4" t="s">
        <v>604</v>
      </c>
      <c r="E86" s="10">
        <v>0</v>
      </c>
      <c r="F86" s="1">
        <v>2000000</v>
      </c>
      <c r="G86" s="16">
        <f t="shared" si="19"/>
        <v>2000000</v>
      </c>
      <c r="H86" s="1">
        <v>-2000000</v>
      </c>
      <c r="I86" s="16">
        <f>G86+H86</f>
        <v>0</v>
      </c>
      <c r="J86" s="1">
        <v>600000</v>
      </c>
      <c r="K86" s="16">
        <f t="shared" si="32"/>
        <v>600000</v>
      </c>
      <c r="L86" s="1">
        <v>-600000</v>
      </c>
      <c r="M86" s="41">
        <f t="shared" si="33"/>
        <v>0</v>
      </c>
      <c r="N86" s="41">
        <v>50000</v>
      </c>
      <c r="O86" s="1">
        <f t="shared" si="37"/>
        <v>50000</v>
      </c>
      <c r="P86" s="41">
        <f t="shared" si="34"/>
        <v>50000</v>
      </c>
      <c r="Q86" s="1">
        <v>0</v>
      </c>
      <c r="R86" s="41">
        <f t="shared" si="35"/>
        <v>50000</v>
      </c>
      <c r="S86" s="1">
        <v>0</v>
      </c>
      <c r="T86" s="41">
        <f t="shared" si="36"/>
        <v>50000</v>
      </c>
      <c r="U86" s="1">
        <v>0</v>
      </c>
      <c r="V86" s="41">
        <f t="shared" si="27"/>
        <v>50000</v>
      </c>
    </row>
    <row r="87" spans="1:22" s="2" customFormat="1">
      <c r="A87" s="5"/>
      <c r="B87" s="5" t="s">
        <v>68</v>
      </c>
      <c r="C87" s="8">
        <f>SUM(C81:C84)</f>
        <v>370000</v>
      </c>
      <c r="D87" s="8">
        <f>SUM(D81:D84)</f>
        <v>260000</v>
      </c>
      <c r="E87" s="8">
        <f t="shared" ref="E87:M87" si="38">SUM(E81:E86)</f>
        <v>630000</v>
      </c>
      <c r="F87" s="8">
        <f t="shared" si="38"/>
        <v>1860000</v>
      </c>
      <c r="G87" s="8">
        <f t="shared" si="38"/>
        <v>2490000</v>
      </c>
      <c r="H87" s="8">
        <f t="shared" si="38"/>
        <v>-2030000</v>
      </c>
      <c r="I87" s="8">
        <f t="shared" si="38"/>
        <v>460000</v>
      </c>
      <c r="J87" s="8">
        <f t="shared" si="38"/>
        <v>724000</v>
      </c>
      <c r="K87" s="8">
        <f t="shared" si="38"/>
        <v>1184000</v>
      </c>
      <c r="L87" s="8">
        <f t="shared" si="38"/>
        <v>-788200</v>
      </c>
      <c r="M87" s="8">
        <f t="shared" si="38"/>
        <v>395800</v>
      </c>
      <c r="N87" s="8"/>
      <c r="O87" s="3"/>
      <c r="P87" s="8">
        <f>SUM(P81:P86)</f>
        <v>448000</v>
      </c>
      <c r="Q87" s="8">
        <f t="shared" ref="Q87:V87" si="39">SUM(Q81:Q86)</f>
        <v>20000</v>
      </c>
      <c r="R87" s="8">
        <f t="shared" si="39"/>
        <v>468000</v>
      </c>
      <c r="S87" s="8">
        <f t="shared" si="39"/>
        <v>-27000</v>
      </c>
      <c r="T87" s="8">
        <f t="shared" si="39"/>
        <v>441000</v>
      </c>
      <c r="U87" s="8">
        <f t="shared" si="39"/>
        <v>3000</v>
      </c>
      <c r="V87" s="8">
        <f t="shared" si="39"/>
        <v>444000</v>
      </c>
    </row>
    <row r="88" spans="1:22" s="2" customFormat="1">
      <c r="A88" s="43">
        <v>72000</v>
      </c>
      <c r="B88" s="43" t="s">
        <v>920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"/>
      <c r="P88" s="8"/>
      <c r="Q88" s="8"/>
      <c r="R88" s="8"/>
      <c r="S88" s="8"/>
      <c r="T88" s="47">
        <v>0</v>
      </c>
      <c r="U88" s="47">
        <f>79115.31*2</f>
        <v>158230.62</v>
      </c>
      <c r="V88" s="41">
        <f t="shared" si="27"/>
        <v>158230.62</v>
      </c>
    </row>
    <row r="89" spans="1:22" s="17" customFormat="1">
      <c r="A89" s="4">
        <v>75100</v>
      </c>
      <c r="B89" s="4" t="s">
        <v>642</v>
      </c>
      <c r="C89" s="10"/>
      <c r="D89" s="10"/>
      <c r="E89" s="10"/>
      <c r="F89" s="10"/>
      <c r="G89" s="10">
        <v>0</v>
      </c>
      <c r="H89" s="10">
        <v>0</v>
      </c>
      <c r="I89" s="16">
        <v>46832</v>
      </c>
      <c r="J89" s="16">
        <v>-46832</v>
      </c>
      <c r="K89" s="16">
        <f>I89+J89</f>
        <v>0</v>
      </c>
      <c r="L89" s="16"/>
      <c r="M89" s="41">
        <f>K89+L89</f>
        <v>0</v>
      </c>
      <c r="N89" s="41"/>
      <c r="O89" s="1">
        <f t="shared" ref="O89:O92" si="40">N89-M89</f>
        <v>0</v>
      </c>
      <c r="P89" s="41">
        <f t="shared" ref="P89:P92" si="41">M89+O89</f>
        <v>0</v>
      </c>
      <c r="Q89" s="16">
        <v>0</v>
      </c>
      <c r="R89" s="41">
        <f t="shared" ref="R89:R92" si="42">P89+Q89</f>
        <v>0</v>
      </c>
      <c r="S89" s="16">
        <v>0</v>
      </c>
      <c r="T89" s="41">
        <f t="shared" ref="T89:T94" si="43">R89+S89</f>
        <v>0</v>
      </c>
      <c r="U89" s="16">
        <v>0</v>
      </c>
      <c r="V89" s="41">
        <f t="shared" si="27"/>
        <v>0</v>
      </c>
    </row>
    <row r="90" spans="1:22" s="2" customFormat="1">
      <c r="A90" s="4">
        <v>75500</v>
      </c>
      <c r="B90" s="4" t="s">
        <v>476</v>
      </c>
      <c r="C90" s="10">
        <v>1375640.75</v>
      </c>
      <c r="D90" s="10">
        <v>-1346268.2</v>
      </c>
      <c r="E90" s="10">
        <f>C90+D90</f>
        <v>29372.550000000047</v>
      </c>
      <c r="F90" s="16">
        <f>1171000-E90</f>
        <v>1141627.45</v>
      </c>
      <c r="G90" s="16">
        <f t="shared" si="19"/>
        <v>1171000</v>
      </c>
      <c r="H90" s="16">
        <v>-1171000</v>
      </c>
      <c r="I90" s="16">
        <f>G90+H90</f>
        <v>0</v>
      </c>
      <c r="J90" s="3"/>
      <c r="K90" s="16">
        <f>I90+J90</f>
        <v>0</v>
      </c>
      <c r="L90" s="3"/>
      <c r="M90" s="41">
        <f>K90+L90</f>
        <v>0</v>
      </c>
      <c r="N90" s="41"/>
      <c r="O90" s="1">
        <f t="shared" si="40"/>
        <v>0</v>
      </c>
      <c r="P90" s="41">
        <f t="shared" si="41"/>
        <v>0</v>
      </c>
      <c r="Q90" s="41">
        <v>0</v>
      </c>
      <c r="R90" s="41">
        <f t="shared" si="42"/>
        <v>0</v>
      </c>
      <c r="S90" s="41">
        <v>0</v>
      </c>
      <c r="T90" s="41">
        <f t="shared" si="43"/>
        <v>0</v>
      </c>
      <c r="U90" s="41">
        <f>199434.28+16075+20050</f>
        <v>235559.28</v>
      </c>
      <c r="V90" s="41">
        <f t="shared" si="27"/>
        <v>235559.28</v>
      </c>
    </row>
    <row r="91" spans="1:22" s="2" customFormat="1">
      <c r="A91" s="4">
        <v>76100</v>
      </c>
      <c r="B91" s="4" t="s">
        <v>477</v>
      </c>
      <c r="C91" s="10">
        <v>548000</v>
      </c>
      <c r="D91" s="10">
        <v>-216337.5</v>
      </c>
      <c r="E91" s="10">
        <f>C91+D91</f>
        <v>331662.5</v>
      </c>
      <c r="F91" s="16">
        <f>65000-E91</f>
        <v>-266662.5</v>
      </c>
      <c r="G91" s="16">
        <f t="shared" si="19"/>
        <v>65000</v>
      </c>
      <c r="H91" s="16">
        <v>-65000</v>
      </c>
      <c r="I91" s="16">
        <v>1989787.89</v>
      </c>
      <c r="J91" s="16">
        <v>-1989787.89</v>
      </c>
      <c r="K91" s="16">
        <f>I91+J91</f>
        <v>0</v>
      </c>
      <c r="L91" s="3"/>
      <c r="M91" s="41">
        <f>K91+L91</f>
        <v>0</v>
      </c>
      <c r="N91" s="41"/>
      <c r="O91" s="1">
        <f t="shared" si="40"/>
        <v>0</v>
      </c>
      <c r="P91" s="41">
        <f t="shared" si="41"/>
        <v>0</v>
      </c>
      <c r="Q91" s="41">
        <v>0</v>
      </c>
      <c r="R91" s="41">
        <f t="shared" si="42"/>
        <v>0</v>
      </c>
      <c r="S91" s="41">
        <v>186250</v>
      </c>
      <c r="T91" s="41">
        <f t="shared" si="43"/>
        <v>186250</v>
      </c>
      <c r="U91" s="41">
        <f>224739.02-T91</f>
        <v>38489.01999999999</v>
      </c>
      <c r="V91" s="41">
        <f t="shared" si="27"/>
        <v>224739.02</v>
      </c>
    </row>
    <row r="92" spans="1:22" s="2" customFormat="1">
      <c r="A92" s="4">
        <v>79000</v>
      </c>
      <c r="B92" s="4" t="s">
        <v>590</v>
      </c>
      <c r="C92" s="10">
        <v>1519000</v>
      </c>
      <c r="D92" s="10">
        <v>464030</v>
      </c>
      <c r="E92" s="10">
        <f>C92+D92</f>
        <v>1983030</v>
      </c>
      <c r="F92" s="16">
        <f>1959226.29-E92</f>
        <v>-23803.709999999963</v>
      </c>
      <c r="G92" s="16">
        <f t="shared" si="19"/>
        <v>1959226.29</v>
      </c>
      <c r="H92" s="3">
        <f>-G92</f>
        <v>-1959226.29</v>
      </c>
      <c r="I92" s="16">
        <f>G92+H92</f>
        <v>0</v>
      </c>
      <c r="J92" s="3"/>
      <c r="K92" s="16">
        <f>I92+J92</f>
        <v>0</v>
      </c>
      <c r="L92" s="3"/>
      <c r="M92" s="41">
        <f>K92+L92</f>
        <v>0</v>
      </c>
      <c r="N92" s="41"/>
      <c r="O92" s="1">
        <f t="shared" si="40"/>
        <v>0</v>
      </c>
      <c r="P92" s="41">
        <f t="shared" si="41"/>
        <v>0</v>
      </c>
      <c r="Q92" s="41">
        <v>0</v>
      </c>
      <c r="R92" s="41">
        <f t="shared" si="42"/>
        <v>0</v>
      </c>
      <c r="S92" s="41">
        <v>0</v>
      </c>
      <c r="T92" s="41">
        <f t="shared" si="43"/>
        <v>0</v>
      </c>
      <c r="U92" s="41">
        <f>79115.31</f>
        <v>79115.31</v>
      </c>
      <c r="V92" s="41">
        <f t="shared" si="27"/>
        <v>79115.31</v>
      </c>
    </row>
    <row r="93" spans="1:22" s="2" customFormat="1">
      <c r="A93" s="5"/>
      <c r="B93" s="5" t="s">
        <v>478</v>
      </c>
      <c r="C93" s="8">
        <f>SUM(C90:C92)</f>
        <v>3442640.75</v>
      </c>
      <c r="D93" s="8">
        <f>SUM(D90:D92)</f>
        <v>-1098575.7</v>
      </c>
      <c r="E93" s="8">
        <f>SUM(E90:E92)</f>
        <v>2344065.0499999998</v>
      </c>
      <c r="F93" s="8">
        <f>SUM(F90:F92)</f>
        <v>851161.24</v>
      </c>
      <c r="G93" s="8">
        <f t="shared" ref="G93:S93" si="44">SUM(G89:G92)</f>
        <v>3195226.29</v>
      </c>
      <c r="H93" s="8">
        <f t="shared" si="44"/>
        <v>-3195226.29</v>
      </c>
      <c r="I93" s="8">
        <f t="shared" si="44"/>
        <v>2036619.89</v>
      </c>
      <c r="J93" s="8">
        <f t="shared" si="44"/>
        <v>-2036619.89</v>
      </c>
      <c r="K93" s="8">
        <f t="shared" si="44"/>
        <v>0</v>
      </c>
      <c r="L93" s="8">
        <f t="shared" si="44"/>
        <v>0</v>
      </c>
      <c r="M93" s="8">
        <f t="shared" si="44"/>
        <v>0</v>
      </c>
      <c r="N93" s="8"/>
      <c r="O93" s="3"/>
      <c r="P93" s="8">
        <f t="shared" si="44"/>
        <v>0</v>
      </c>
      <c r="Q93" s="8">
        <f t="shared" si="44"/>
        <v>0</v>
      </c>
      <c r="R93" s="8">
        <f t="shared" si="44"/>
        <v>0</v>
      </c>
      <c r="S93" s="8">
        <f t="shared" si="44"/>
        <v>186250</v>
      </c>
      <c r="T93" s="8">
        <f>SUM(T88:T92)</f>
        <v>186250</v>
      </c>
      <c r="U93" s="8">
        <f t="shared" ref="U93:V93" si="45">SUM(U88:U92)</f>
        <v>511394.23000000004</v>
      </c>
      <c r="V93" s="8">
        <f t="shared" si="45"/>
        <v>697644.23</v>
      </c>
    </row>
    <row r="94" spans="1:22" s="2" customFormat="1">
      <c r="A94" s="4">
        <v>91701</v>
      </c>
      <c r="B94" s="4" t="s">
        <v>589</v>
      </c>
      <c r="C94" s="10">
        <v>5923530.4900000002</v>
      </c>
      <c r="D94" s="10">
        <v>-2949260.16</v>
      </c>
      <c r="E94" s="10">
        <f>C94+D94</f>
        <v>2974270.33</v>
      </c>
      <c r="F94" s="10">
        <f>2398025-E94</f>
        <v>-576245.33000000007</v>
      </c>
      <c r="G94" s="10">
        <f>E94+F94</f>
        <v>2398025</v>
      </c>
      <c r="H94" s="16">
        <v>-2398025</v>
      </c>
      <c r="I94" s="16">
        <f>G94+H94</f>
        <v>0</v>
      </c>
      <c r="J94" s="3"/>
      <c r="K94" s="16">
        <f>I94+J94</f>
        <v>0</v>
      </c>
      <c r="L94" s="3"/>
      <c r="M94" s="41">
        <f>K94+L94</f>
        <v>0</v>
      </c>
      <c r="N94" s="41"/>
      <c r="O94" s="1">
        <f t="shared" ref="O94" si="46">N94-M94</f>
        <v>0</v>
      </c>
      <c r="P94" s="41">
        <f t="shared" ref="P94" si="47">M94+O94</f>
        <v>0</v>
      </c>
      <c r="Q94" s="41">
        <v>0</v>
      </c>
      <c r="R94" s="41">
        <f>P94+Q94</f>
        <v>0</v>
      </c>
      <c r="S94" s="41">
        <v>0</v>
      </c>
      <c r="T94" s="41">
        <f t="shared" si="43"/>
        <v>0</v>
      </c>
      <c r="U94" s="41">
        <v>0</v>
      </c>
      <c r="V94" s="41">
        <f t="shared" si="27"/>
        <v>0</v>
      </c>
    </row>
    <row r="95" spans="1:22" s="2" customFormat="1" ht="13.5" thickBot="1">
      <c r="A95" s="5"/>
      <c r="B95" s="5" t="s">
        <v>479</v>
      </c>
      <c r="C95" s="8">
        <f t="shared" ref="C95:I95" si="48">SUM(C94)</f>
        <v>5923530.4900000002</v>
      </c>
      <c r="D95" s="8">
        <f t="shared" si="48"/>
        <v>-2949260.16</v>
      </c>
      <c r="E95" s="8">
        <f t="shared" si="48"/>
        <v>2974270.33</v>
      </c>
      <c r="F95" s="8">
        <f t="shared" si="48"/>
        <v>-576245.33000000007</v>
      </c>
      <c r="G95" s="8">
        <f t="shared" si="48"/>
        <v>2398025</v>
      </c>
      <c r="H95" s="8">
        <f t="shared" si="48"/>
        <v>-2398025</v>
      </c>
      <c r="I95" s="8">
        <f t="shared" si="48"/>
        <v>0</v>
      </c>
      <c r="J95" s="8">
        <f>SUM(J94)</f>
        <v>0</v>
      </c>
      <c r="K95" s="8">
        <f>SUM(K94)</f>
        <v>0</v>
      </c>
      <c r="L95" s="8">
        <f>SUM(L94)</f>
        <v>0</v>
      </c>
      <c r="M95" s="8">
        <f>SUM(M94)</f>
        <v>0</v>
      </c>
      <c r="N95" s="8"/>
      <c r="O95" s="3"/>
      <c r="P95" s="8">
        <f>SUM(P94)</f>
        <v>0</v>
      </c>
      <c r="Q95" s="8">
        <f t="shared" ref="Q95:V95" si="49">SUM(Q94)</f>
        <v>0</v>
      </c>
      <c r="R95" s="8">
        <f t="shared" si="49"/>
        <v>0</v>
      </c>
      <c r="S95" s="8">
        <f t="shared" si="49"/>
        <v>0</v>
      </c>
      <c r="T95" s="8">
        <f t="shared" si="49"/>
        <v>0</v>
      </c>
      <c r="U95" s="8">
        <f t="shared" si="49"/>
        <v>0</v>
      </c>
      <c r="V95" s="8">
        <f t="shared" si="49"/>
        <v>0</v>
      </c>
    </row>
    <row r="96" spans="1:22" s="2" customFormat="1" ht="14.25" thickTop="1" thickBot="1">
      <c r="A96" s="23"/>
      <c r="B96" s="24" t="s">
        <v>61</v>
      </c>
      <c r="C96" s="25">
        <f t="shared" ref="C96:M96" si="50">C8+C10+C65+C80+C87+C93+C95</f>
        <v>28709963.560000002</v>
      </c>
      <c r="D96" s="25">
        <f t="shared" si="50"/>
        <v>28486261.030000001</v>
      </c>
      <c r="E96" s="25">
        <f t="shared" si="50"/>
        <v>57196224.589999996</v>
      </c>
      <c r="F96" s="25">
        <f t="shared" si="50"/>
        <v>-172105.59000000008</v>
      </c>
      <c r="G96" s="26">
        <f t="shared" si="50"/>
        <v>57024119</v>
      </c>
      <c r="H96" s="26">
        <f t="shared" si="50"/>
        <v>-9190879.1600000001</v>
      </c>
      <c r="I96" s="26">
        <f t="shared" si="50"/>
        <v>54869859.730000004</v>
      </c>
      <c r="J96" s="26">
        <f t="shared" si="50"/>
        <v>-7944450.0899999999</v>
      </c>
      <c r="K96" s="26">
        <f t="shared" si="50"/>
        <v>46925409.640000001</v>
      </c>
      <c r="L96" s="26">
        <f t="shared" si="50"/>
        <v>-606103.49999999953</v>
      </c>
      <c r="M96" s="26">
        <f t="shared" si="50"/>
        <v>46319306.140000001</v>
      </c>
      <c r="N96" s="26"/>
      <c r="O96" s="26">
        <f>O8+O10+O65+O80+O87+O93+O95</f>
        <v>0</v>
      </c>
      <c r="P96" s="26">
        <f>P8+P10+P65+P80+P87+P93+P95</f>
        <v>47649428.849999994</v>
      </c>
      <c r="Q96" s="26">
        <f>Q8+Q10+Q65+Q80+Q87+Q93+Q95</f>
        <v>1791724.4899999993</v>
      </c>
      <c r="R96" s="26">
        <f>R8+R10+R65+R80+R87+R93+R95</f>
        <v>49441153.340000004</v>
      </c>
      <c r="S96" s="26">
        <f t="shared" ref="S96:V96" si="51">S8+S10+S65+S80+S87+S93+S95</f>
        <v>2464541.6700000009</v>
      </c>
      <c r="T96" s="26">
        <f t="shared" si="51"/>
        <v>51905695.010000005</v>
      </c>
      <c r="U96" s="26">
        <f t="shared" si="51"/>
        <v>1096910.5300000014</v>
      </c>
      <c r="V96" s="26">
        <f t="shared" si="51"/>
        <v>53002605.539999999</v>
      </c>
    </row>
    <row r="97" ht="13.5" thickTop="1"/>
    <row r="532" spans="1:30">
      <c r="A532" s="4">
        <v>33800</v>
      </c>
      <c r="B532" s="4">
        <v>22101</v>
      </c>
      <c r="C532" s="47" t="s">
        <v>248</v>
      </c>
      <c r="AC532">
        <v>0</v>
      </c>
      <c r="AD532">
        <v>50</v>
      </c>
    </row>
    <row r="552" spans="30:30">
      <c r="AD552">
        <v>11300</v>
      </c>
    </row>
    <row r="553" spans="30:30">
      <c r="AD553">
        <v>6500</v>
      </c>
    </row>
    <row r="554" spans="30:30">
      <c r="AD554">
        <v>60000</v>
      </c>
    </row>
    <row r="555" spans="30:30">
      <c r="AD555">
        <v>15000</v>
      </c>
    </row>
    <row r="556" spans="30:30">
      <c r="AD556" s="40">
        <v>500</v>
      </c>
    </row>
    <row r="557" spans="30:30">
      <c r="AD557">
        <v>100</v>
      </c>
    </row>
    <row r="558" spans="30:30">
      <c r="AD558">
        <v>1500</v>
      </c>
    </row>
    <row r="559" spans="30:30">
      <c r="AD559">
        <v>15000</v>
      </c>
    </row>
    <row r="560" spans="30:30">
      <c r="AD560">
        <v>7000</v>
      </c>
    </row>
    <row r="562" spans="30:30">
      <c r="AD562">
        <v>45000</v>
      </c>
    </row>
    <row r="563" spans="30:30">
      <c r="AD563">
        <v>500</v>
      </c>
    </row>
    <row r="565" spans="30:30">
      <c r="AD565">
        <v>95000</v>
      </c>
    </row>
    <row r="566" spans="30:30">
      <c r="AD566">
        <v>25000</v>
      </c>
    </row>
    <row r="567" spans="30:30">
      <c r="AD567">
        <v>65000</v>
      </c>
    </row>
    <row r="568" spans="30:30">
      <c r="AD568">
        <v>250</v>
      </c>
    </row>
    <row r="569" spans="30:30">
      <c r="AD569">
        <v>100</v>
      </c>
    </row>
    <row r="570" spans="30:30">
      <c r="AD570">
        <v>5000</v>
      </c>
    </row>
    <row r="571" spans="30:30">
      <c r="AD571">
        <v>1000</v>
      </c>
    </row>
    <row r="574" spans="30:30">
      <c r="AD574">
        <v>0</v>
      </c>
    </row>
    <row r="575" spans="30:30">
      <c r="AD575">
        <v>10000</v>
      </c>
    </row>
  </sheetData>
  <customSheetViews>
    <customSheetView guid="{4A056693-7DCB-4AEF-AE29-22F0297A0964}" showPageBreaks="1" hiddenColumns="1" view="pageLayout">
      <selection activeCell="B14" sqref="B14"/>
      <pageMargins left="0.75" right="0.75" top="1" bottom="1" header="0" footer="0"/>
      <pageSetup paperSize="9" scale="85" orientation="portrait" r:id="rId1"/>
      <headerFooter alignWithMargins="0">
        <oddHeader>&amp;C&amp;"Arial,Negrita"PRESUPUESTO 2.015
&amp;R&amp;P</oddHeader>
      </headerFooter>
    </customSheetView>
  </customSheetViews>
  <phoneticPr fontId="3" type="noConversion"/>
  <pageMargins left="0.75" right="0.75" top="1" bottom="1" header="0" footer="0"/>
  <pageSetup paperSize="9" scale="85" orientation="portrait" r:id="rId2"/>
  <headerFooter alignWithMargins="0">
    <oddHeader>&amp;C&amp;"Arial,Negrita"PRESUPUESTO 2.018
&amp;R&amp;P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531"/>
  <sheetViews>
    <sheetView view="pageLayout" zoomScaleNormal="100" workbookViewId="0">
      <selection activeCell="B3" sqref="B3"/>
    </sheetView>
  </sheetViews>
  <sheetFormatPr baseColWidth="10" defaultRowHeight="12.75"/>
  <cols>
    <col min="2" max="2" width="37.140625" customWidth="1"/>
    <col min="3" max="3" width="16" hidden="1" customWidth="1"/>
    <col min="4" max="4" width="18.5703125" hidden="1" customWidth="1"/>
    <col min="5" max="14" width="18.42578125" hidden="1" customWidth="1"/>
    <col min="15" max="17" width="18.42578125" customWidth="1"/>
    <col min="18" max="19" width="12.28515625" bestFit="1" customWidth="1"/>
  </cols>
  <sheetData>
    <row r="1" spans="1:19" ht="15.75">
      <c r="A1" s="27" t="s">
        <v>654</v>
      </c>
    </row>
    <row r="3" spans="1:19" ht="15.75">
      <c r="A3" s="27" t="s">
        <v>605</v>
      </c>
      <c r="B3" s="27" t="s">
        <v>606</v>
      </c>
      <c r="C3" s="27" t="s">
        <v>607</v>
      </c>
      <c r="D3" s="27" t="s">
        <v>608</v>
      </c>
      <c r="E3" s="27" t="s">
        <v>669</v>
      </c>
      <c r="F3" s="27" t="s">
        <v>645</v>
      </c>
      <c r="G3" s="27" t="s">
        <v>670</v>
      </c>
      <c r="H3" s="27" t="s">
        <v>54</v>
      </c>
      <c r="I3" s="27" t="s">
        <v>699</v>
      </c>
      <c r="J3" s="27" t="s">
        <v>54</v>
      </c>
      <c r="K3" s="27" t="s">
        <v>775</v>
      </c>
      <c r="L3" s="27" t="s">
        <v>626</v>
      </c>
      <c r="M3" s="27" t="s">
        <v>821</v>
      </c>
      <c r="N3" s="27" t="s">
        <v>778</v>
      </c>
      <c r="O3" s="27" t="s">
        <v>863</v>
      </c>
      <c r="P3" s="27" t="s">
        <v>778</v>
      </c>
      <c r="Q3" s="27" t="s">
        <v>948</v>
      </c>
      <c r="R3" s="28" t="s">
        <v>650</v>
      </c>
      <c r="S3" s="28" t="s">
        <v>646</v>
      </c>
    </row>
    <row r="4" spans="1:19" ht="15.75">
      <c r="A4" s="29">
        <v>1</v>
      </c>
      <c r="B4" s="29" t="s">
        <v>609</v>
      </c>
      <c r="C4" s="30">
        <v>19851918.27</v>
      </c>
      <c r="D4" s="30">
        <v>167888.27</v>
      </c>
      <c r="E4" s="30">
        <v>18468322.629999999</v>
      </c>
      <c r="F4" s="30">
        <f>G4-E4</f>
        <v>-1052007.4100000001</v>
      </c>
      <c r="G4" s="30">
        <v>17416315.219999999</v>
      </c>
      <c r="H4" s="30">
        <f>I4-G4</f>
        <v>-505353.19999999925</v>
      </c>
      <c r="I4" s="47">
        <v>16910962.02</v>
      </c>
      <c r="J4" s="30">
        <v>326669.93</v>
      </c>
      <c r="K4" s="30">
        <f>I4+J4</f>
        <v>17237631.949999999</v>
      </c>
      <c r="L4" s="30">
        <f>M4-K4</f>
        <v>709444.08999999985</v>
      </c>
      <c r="M4" s="30">
        <v>17947076.039999999</v>
      </c>
      <c r="N4" s="30">
        <f>O4-M4</f>
        <v>103154.2300000079</v>
      </c>
      <c r="O4" s="30">
        <f>'ecgastos 2018'!AC324</f>
        <v>18050230.270000007</v>
      </c>
      <c r="P4" s="30">
        <f>Q4-O4</f>
        <v>392775.59000000358</v>
      </c>
      <c r="Q4" s="30">
        <f>'ecgastos 2018'!AF324</f>
        <v>18443005.860000011</v>
      </c>
      <c r="R4" s="31">
        <f>P4/O4</f>
        <v>2.1760142897058091E-2</v>
      </c>
      <c r="S4" s="31">
        <f>Q4/Q13</f>
        <v>0.34796413631882878</v>
      </c>
    </row>
    <row r="5" spans="1:19" ht="15.75">
      <c r="A5" s="29">
        <v>2</v>
      </c>
      <c r="B5" s="29" t="s">
        <v>610</v>
      </c>
      <c r="C5" s="30">
        <v>18467928.77</v>
      </c>
      <c r="D5" s="30">
        <v>-267643.12</v>
      </c>
      <c r="E5" s="30">
        <v>19663158.77</v>
      </c>
      <c r="F5" s="30">
        <f t="shared" ref="F5:F12" si="0">G5-E5</f>
        <v>322225.8200000003</v>
      </c>
      <c r="G5" s="30">
        <v>19985384.59</v>
      </c>
      <c r="H5" s="30">
        <f>I5-G5</f>
        <v>-418403.9299999997</v>
      </c>
      <c r="I5" s="30">
        <v>19566980.66</v>
      </c>
      <c r="J5" s="30">
        <v>659704.31999999995</v>
      </c>
      <c r="K5" s="30">
        <f t="shared" ref="K5:K12" si="1">I5+J5</f>
        <v>20226684.98</v>
      </c>
      <c r="L5" s="30">
        <f t="shared" ref="L5:L12" si="2">M5-K5</f>
        <v>18854.509999997914</v>
      </c>
      <c r="M5" s="30">
        <v>20245539.489999998</v>
      </c>
      <c r="N5" s="30">
        <f t="shared" ref="N5:N12" si="3">O5-M5</f>
        <v>640224.89000000432</v>
      </c>
      <c r="O5" s="30">
        <f>'ecgastos 2018'!AC745</f>
        <v>20885764.380000003</v>
      </c>
      <c r="P5" s="30">
        <f t="shared" ref="P5:P12" si="4">Q5-O5</f>
        <v>-46295.389200001955</v>
      </c>
      <c r="Q5" s="30">
        <f xml:space="preserve"> 'ecgastos 2018'!AF745</f>
        <v>20839468.990800001</v>
      </c>
      <c r="R5" s="31">
        <f t="shared" ref="R5:R13" si="5">P5/O5</f>
        <v>-2.2166001855471449E-3</v>
      </c>
      <c r="S5" s="31">
        <f>Q5/Q13</f>
        <v>0.3931781990295769</v>
      </c>
    </row>
    <row r="6" spans="1:19" ht="15.75">
      <c r="A6" s="29">
        <v>3</v>
      </c>
      <c r="B6" s="29" t="s">
        <v>611</v>
      </c>
      <c r="C6" s="30">
        <v>1233000</v>
      </c>
      <c r="D6" s="30">
        <v>-30000</v>
      </c>
      <c r="E6" s="30">
        <v>1443000</v>
      </c>
      <c r="F6" s="30">
        <f t="shared" si="0"/>
        <v>640000</v>
      </c>
      <c r="G6" s="30">
        <v>2083000</v>
      </c>
      <c r="H6" s="30">
        <f t="shared" ref="H6:H12" si="6">I6-G6</f>
        <v>-140000</v>
      </c>
      <c r="I6" s="30">
        <v>1943000</v>
      </c>
      <c r="J6" s="30">
        <v>-513000</v>
      </c>
      <c r="K6" s="30">
        <f t="shared" si="1"/>
        <v>1430000</v>
      </c>
      <c r="L6" s="30">
        <f t="shared" si="2"/>
        <v>-380000</v>
      </c>
      <c r="M6" s="30">
        <v>1050000</v>
      </c>
      <c r="N6" s="30">
        <f t="shared" si="3"/>
        <v>1405000</v>
      </c>
      <c r="O6" s="30">
        <f>'ecgastos 2018'!AC750</f>
        <v>2455000</v>
      </c>
      <c r="P6" s="30">
        <f t="shared" si="4"/>
        <v>-1615000</v>
      </c>
      <c r="Q6" s="30">
        <f>'ecgastos 2018'!AF750</f>
        <v>840000</v>
      </c>
      <c r="R6" s="31">
        <f t="shared" si="5"/>
        <v>-0.65784114052953158</v>
      </c>
      <c r="S6" s="31">
        <f>Q6/Q13</f>
        <v>1.5848277483972779E-2</v>
      </c>
    </row>
    <row r="7" spans="1:19" ht="15.75">
      <c r="A7" s="29">
        <v>4</v>
      </c>
      <c r="B7" s="29" t="s">
        <v>612</v>
      </c>
      <c r="C7" s="30">
        <v>3779953.07</v>
      </c>
      <c r="D7" s="30">
        <v>138062.06</v>
      </c>
      <c r="E7" s="30">
        <v>3397397.74</v>
      </c>
      <c r="F7" s="30">
        <f t="shared" si="0"/>
        <v>-228433.92000000039</v>
      </c>
      <c r="G7" s="30">
        <v>3168963.82</v>
      </c>
      <c r="H7" s="30">
        <f t="shared" si="6"/>
        <v>85684.300000000279</v>
      </c>
      <c r="I7" s="30">
        <v>3254648.12</v>
      </c>
      <c r="J7" s="30">
        <v>136225.34</v>
      </c>
      <c r="K7" s="30">
        <f t="shared" si="1"/>
        <v>3390873.46</v>
      </c>
      <c r="L7" s="30">
        <f t="shared" si="2"/>
        <v>180274.10999999987</v>
      </c>
      <c r="M7" s="30">
        <v>3571147.57</v>
      </c>
      <c r="N7" s="30">
        <f t="shared" si="3"/>
        <v>171295.35000000009</v>
      </c>
      <c r="O7" s="30">
        <f>'ecgastos 2018'!AC804</f>
        <v>3742442.92</v>
      </c>
      <c r="P7" s="30">
        <f t="shared" si="4"/>
        <v>948122.94099999964</v>
      </c>
      <c r="Q7" s="30">
        <f>'ecgastos 2018'!AF804</f>
        <v>4690565.8609999996</v>
      </c>
      <c r="R7" s="31">
        <f t="shared" si="5"/>
        <v>0.25334332714418517</v>
      </c>
      <c r="S7" s="31">
        <f>Q7/Q13</f>
        <v>8.8496892049973436E-2</v>
      </c>
    </row>
    <row r="8" spans="1:19" ht="15.75">
      <c r="A8" s="29">
        <v>5</v>
      </c>
      <c r="B8" s="29" t="s">
        <v>701</v>
      </c>
      <c r="C8" s="30"/>
      <c r="D8" s="30"/>
      <c r="E8" s="30"/>
      <c r="F8" s="30"/>
      <c r="G8" s="30">
        <v>0</v>
      </c>
      <c r="H8" s="30">
        <f t="shared" si="6"/>
        <v>200000</v>
      </c>
      <c r="I8" s="30">
        <v>200000</v>
      </c>
      <c r="J8" s="30">
        <v>0</v>
      </c>
      <c r="K8" s="30">
        <f t="shared" si="1"/>
        <v>200000</v>
      </c>
      <c r="L8" s="30">
        <f t="shared" si="2"/>
        <v>451595.57999999996</v>
      </c>
      <c r="M8" s="30">
        <v>651595.57999999996</v>
      </c>
      <c r="N8" s="30">
        <f t="shared" si="3"/>
        <v>-451595.57999999996</v>
      </c>
      <c r="O8" s="30">
        <f>'ecgastos 2018'!AC806</f>
        <v>200000</v>
      </c>
      <c r="P8" s="30">
        <f t="shared" si="4"/>
        <v>-100000</v>
      </c>
      <c r="Q8" s="30">
        <f>'ecgastos 2018'!AF806</f>
        <v>100000</v>
      </c>
      <c r="R8" s="31">
        <f t="shared" si="5"/>
        <v>-0.5</v>
      </c>
      <c r="S8" s="31">
        <f>Q8/Q13</f>
        <v>1.8866997004729498E-3</v>
      </c>
    </row>
    <row r="9" spans="1:19" ht="15.75">
      <c r="A9" s="29">
        <v>6</v>
      </c>
      <c r="B9" s="29" t="s">
        <v>613</v>
      </c>
      <c r="C9" s="30">
        <v>16631707.74</v>
      </c>
      <c r="D9" s="30">
        <v>-4536335.8600000003</v>
      </c>
      <c r="E9" s="30">
        <v>8474573.2400000002</v>
      </c>
      <c r="F9" s="30">
        <f t="shared" si="0"/>
        <v>-8474573.2400000002</v>
      </c>
      <c r="G9" s="30">
        <v>0</v>
      </c>
      <c r="H9" s="30">
        <f t="shared" si="6"/>
        <v>1598000</v>
      </c>
      <c r="I9" s="30">
        <v>1598000</v>
      </c>
      <c r="J9" s="30">
        <v>283000</v>
      </c>
      <c r="K9" s="30">
        <f t="shared" si="1"/>
        <v>1881000</v>
      </c>
      <c r="L9" s="30">
        <f t="shared" si="2"/>
        <v>112083.12000000011</v>
      </c>
      <c r="M9" s="30">
        <v>1993083.12</v>
      </c>
      <c r="N9" s="30">
        <f t="shared" si="3"/>
        <v>570282.7799999998</v>
      </c>
      <c r="O9" s="30">
        <f>'ecgastos 2018'!AC852</f>
        <v>2563365.9</v>
      </c>
      <c r="P9" s="30">
        <f t="shared" si="4"/>
        <v>1237378.8000000003</v>
      </c>
      <c r="Q9" s="30">
        <f>'ecgastos 2018'!AF852</f>
        <v>3800744.7</v>
      </c>
      <c r="R9" s="31">
        <f t="shared" si="5"/>
        <v>0.48271641594358428</v>
      </c>
      <c r="S9" s="31">
        <f>Q9/Q13</f>
        <v>7.1708638870641522E-2</v>
      </c>
    </row>
    <row r="10" spans="1:19" ht="15.75">
      <c r="A10" s="29">
        <v>7</v>
      </c>
      <c r="B10" s="29" t="s">
        <v>614</v>
      </c>
      <c r="C10" s="30">
        <v>205600.44</v>
      </c>
      <c r="D10" s="30">
        <v>-86600.44</v>
      </c>
      <c r="E10" s="30">
        <v>74611.960000000006</v>
      </c>
      <c r="F10" s="30">
        <f t="shared" si="0"/>
        <v>243684.05</v>
      </c>
      <c r="G10" s="30">
        <v>318296.01</v>
      </c>
      <c r="H10" s="30">
        <f t="shared" si="6"/>
        <v>-285970.67</v>
      </c>
      <c r="I10" s="30">
        <v>32325.34</v>
      </c>
      <c r="J10" s="30">
        <v>45913.120000000003</v>
      </c>
      <c r="K10" s="30">
        <f t="shared" si="1"/>
        <v>78238.460000000006</v>
      </c>
      <c r="L10" s="30">
        <f t="shared" si="2"/>
        <v>274473.07999999996</v>
      </c>
      <c r="M10" s="30">
        <v>352711.54</v>
      </c>
      <c r="N10" s="30">
        <f t="shared" si="3"/>
        <v>11180</v>
      </c>
      <c r="O10" s="30">
        <f>'ecgastos 2018'!AC862</f>
        <v>363891.54</v>
      </c>
      <c r="P10" s="30">
        <f t="shared" si="4"/>
        <v>-20071.409999999974</v>
      </c>
      <c r="Q10" s="30">
        <f>'ecgastos 2018'!AF862</f>
        <v>343820.13</v>
      </c>
      <c r="R10" s="31">
        <f t="shared" si="5"/>
        <v>-5.5157671431437995E-2</v>
      </c>
      <c r="S10" s="31">
        <f>Q10/Q13</f>
        <v>6.4868533628757068E-3</v>
      </c>
    </row>
    <row r="11" spans="1:19" ht="15.75">
      <c r="A11" s="29">
        <v>8</v>
      </c>
      <c r="B11" s="29" t="s">
        <v>615</v>
      </c>
      <c r="C11" s="30">
        <v>0</v>
      </c>
      <c r="D11" s="30">
        <v>0</v>
      </c>
      <c r="E11" s="30">
        <v>0</v>
      </c>
      <c r="F11" s="30">
        <f t="shared" si="0"/>
        <v>0</v>
      </c>
      <c r="G11" s="30">
        <v>0</v>
      </c>
      <c r="H11" s="30">
        <f t="shared" si="6"/>
        <v>0</v>
      </c>
      <c r="I11" s="30">
        <v>0</v>
      </c>
      <c r="J11" s="30">
        <v>0</v>
      </c>
      <c r="K11" s="30">
        <f t="shared" si="1"/>
        <v>0</v>
      </c>
      <c r="L11" s="30">
        <f t="shared" si="2"/>
        <v>0</v>
      </c>
      <c r="M11" s="30">
        <v>0</v>
      </c>
      <c r="N11" s="30">
        <f t="shared" si="3"/>
        <v>0</v>
      </c>
      <c r="O11" s="30">
        <v>0</v>
      </c>
      <c r="P11" s="30">
        <f t="shared" si="4"/>
        <v>0</v>
      </c>
      <c r="Q11" s="30">
        <v>0</v>
      </c>
      <c r="R11" s="31">
        <v>0</v>
      </c>
      <c r="S11" s="31">
        <f>O11/O13</f>
        <v>0</v>
      </c>
    </row>
    <row r="12" spans="1:19" ht="15.75">
      <c r="A12" s="29">
        <v>9</v>
      </c>
      <c r="B12" s="29" t="s">
        <v>616</v>
      </c>
      <c r="C12" s="30">
        <v>3304510.16</v>
      </c>
      <c r="D12" s="30">
        <v>-329955.77</v>
      </c>
      <c r="E12" s="30">
        <v>3527825.92</v>
      </c>
      <c r="F12" s="30">
        <f t="shared" si="0"/>
        <v>681174.08000000007</v>
      </c>
      <c r="G12" s="30">
        <v>4209000</v>
      </c>
      <c r="H12" s="30">
        <f t="shared" si="6"/>
        <v>-1395610</v>
      </c>
      <c r="I12" s="30">
        <v>2813390</v>
      </c>
      <c r="J12" s="30">
        <v>391610</v>
      </c>
      <c r="K12" s="30">
        <f t="shared" si="1"/>
        <v>3205000</v>
      </c>
      <c r="L12" s="30">
        <f t="shared" si="2"/>
        <v>425000</v>
      </c>
      <c r="M12" s="30">
        <v>3630000</v>
      </c>
      <c r="N12" s="30">
        <f t="shared" si="3"/>
        <v>15000</v>
      </c>
      <c r="O12" s="30">
        <f>'ecgastos 2018'!AC864</f>
        <v>3645000</v>
      </c>
      <c r="P12" s="30">
        <f t="shared" si="4"/>
        <v>300000</v>
      </c>
      <c r="Q12" s="30">
        <f>'ecgastos 2018'!AF864</f>
        <v>3945000</v>
      </c>
      <c r="R12" s="31">
        <f t="shared" si="5"/>
        <v>8.2304526748971193E-2</v>
      </c>
      <c r="S12" s="31">
        <f>Q12/Q13</f>
        <v>7.443030318365787E-2</v>
      </c>
    </row>
    <row r="13" spans="1:19" ht="15.75">
      <c r="A13" s="30"/>
      <c r="B13" s="30" t="s">
        <v>617</v>
      </c>
      <c r="C13" s="32">
        <f t="shared" ref="C13:S13" si="7">SUM(C4:C12)</f>
        <v>63474618.450000003</v>
      </c>
      <c r="D13" s="32">
        <f t="shared" si="7"/>
        <v>-4944584.8600000013</v>
      </c>
      <c r="E13" s="32">
        <f t="shared" si="7"/>
        <v>55048890.260000005</v>
      </c>
      <c r="F13" s="32">
        <f t="shared" si="7"/>
        <v>-7867930.6199999992</v>
      </c>
      <c r="G13" s="32">
        <f t="shared" si="7"/>
        <v>47180959.640000001</v>
      </c>
      <c r="H13" s="32">
        <f t="shared" si="7"/>
        <v>-861653.4999999986</v>
      </c>
      <c r="I13" s="32">
        <f t="shared" si="7"/>
        <v>46319306.140000001</v>
      </c>
      <c r="J13" s="32">
        <f t="shared" si="7"/>
        <v>1330122.71</v>
      </c>
      <c r="K13" s="32">
        <f t="shared" si="7"/>
        <v>47649428.850000001</v>
      </c>
      <c r="L13" s="32">
        <f t="shared" si="7"/>
        <v>1791724.4899999979</v>
      </c>
      <c r="M13" s="32">
        <f t="shared" si="7"/>
        <v>49441153.339999996</v>
      </c>
      <c r="N13" s="32">
        <f>SUM(N4:N12)</f>
        <v>2464541.670000012</v>
      </c>
      <c r="O13" s="32">
        <f>SUM(O4:O12)</f>
        <v>51905695.010000005</v>
      </c>
      <c r="P13" s="32">
        <f>SUM(P4:P12)</f>
        <v>1096910.5318000016</v>
      </c>
      <c r="Q13" s="32">
        <f>SUM(Q4:Q12)</f>
        <v>53002605.541800015</v>
      </c>
      <c r="R13" s="49">
        <f t="shared" si="5"/>
        <v>2.1132758777021941E-2</v>
      </c>
      <c r="S13" s="36">
        <f t="shared" si="7"/>
        <v>0.99999999999999989</v>
      </c>
    </row>
    <row r="14" spans="1:19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S14" s="31"/>
    </row>
    <row r="15" spans="1:19" ht="15.75">
      <c r="A15" s="27" t="s">
        <v>618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</row>
    <row r="16" spans="1:19" ht="15.75">
      <c r="A16" s="27"/>
      <c r="B16" s="27"/>
      <c r="C16" s="27"/>
      <c r="D16" s="27"/>
      <c r="E16" s="27" t="s">
        <v>647</v>
      </c>
      <c r="F16" s="27" t="s">
        <v>645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</row>
    <row r="17" spans="1:19" ht="15.75">
      <c r="A17" s="27" t="s">
        <v>605</v>
      </c>
      <c r="B17" s="27" t="s">
        <v>606</v>
      </c>
      <c r="C17" s="27" t="s">
        <v>619</v>
      </c>
      <c r="D17" s="27" t="s">
        <v>608</v>
      </c>
      <c r="E17" s="27"/>
      <c r="F17" s="27"/>
      <c r="G17" s="27" t="s">
        <v>671</v>
      </c>
      <c r="H17" s="27" t="s">
        <v>54</v>
      </c>
      <c r="I17" s="27" t="s">
        <v>700</v>
      </c>
      <c r="J17" s="27" t="s">
        <v>54</v>
      </c>
      <c r="K17" s="27" t="s">
        <v>776</v>
      </c>
      <c r="L17" s="27" t="s">
        <v>626</v>
      </c>
      <c r="M17" s="27" t="s">
        <v>822</v>
      </c>
      <c r="N17" s="27" t="s">
        <v>778</v>
      </c>
      <c r="O17" s="27" t="s">
        <v>867</v>
      </c>
      <c r="P17" s="27" t="s">
        <v>778</v>
      </c>
      <c r="Q17" s="27" t="s">
        <v>949</v>
      </c>
      <c r="R17" s="28" t="s">
        <v>648</v>
      </c>
      <c r="S17" s="28" t="s">
        <v>649</v>
      </c>
    </row>
    <row r="18" spans="1:19" ht="15.75">
      <c r="A18" s="33">
        <v>1</v>
      </c>
      <c r="B18" s="33" t="s">
        <v>620</v>
      </c>
      <c r="C18" s="30">
        <v>21116441.010000002</v>
      </c>
      <c r="D18" s="30">
        <v>-471001.34</v>
      </c>
      <c r="E18" s="30">
        <v>24444439.670000002</v>
      </c>
      <c r="F18" s="30">
        <f t="shared" ref="F18:F26" si="8">G18-E18</f>
        <v>-668921.08000000194</v>
      </c>
      <c r="G18" s="30">
        <v>23775518.59</v>
      </c>
      <c r="H18" s="30">
        <f>I18-G18</f>
        <v>-295931.83999999985</v>
      </c>
      <c r="I18" s="30">
        <f>pingresos2018!M8</f>
        <v>23479586.75</v>
      </c>
      <c r="J18" s="30">
        <f>K18-I18</f>
        <v>1134987</v>
      </c>
      <c r="K18" s="30">
        <v>24614573.75</v>
      </c>
      <c r="L18" s="30">
        <f>M18-K18</f>
        <v>1073174.629999999</v>
      </c>
      <c r="M18" s="30">
        <v>25687748.379999999</v>
      </c>
      <c r="N18" s="30">
        <f>O18-M18</f>
        <v>1128554.3900000006</v>
      </c>
      <c r="O18" s="30">
        <f>pingresos2018!T8</f>
        <v>26816302.77</v>
      </c>
      <c r="P18" s="30">
        <f>Q18-O18</f>
        <v>-576160.08999999985</v>
      </c>
      <c r="Q18" s="30">
        <f>pingresos2018!V8</f>
        <v>26240142.68</v>
      </c>
      <c r="R18" s="31">
        <f t="shared" ref="R18:R24" si="9">P18/O18</f>
        <v>-2.1485440962598433E-2</v>
      </c>
      <c r="S18" s="31">
        <f>Q18/Q27</f>
        <v>0.4950726933640478</v>
      </c>
    </row>
    <row r="19" spans="1:19" ht="15.75">
      <c r="A19" s="33">
        <v>2</v>
      </c>
      <c r="B19" s="33" t="s">
        <v>621</v>
      </c>
      <c r="C19" s="30">
        <v>1600000</v>
      </c>
      <c r="D19" s="30">
        <v>-400000</v>
      </c>
      <c r="E19" s="30">
        <v>1200000</v>
      </c>
      <c r="F19" s="30">
        <f t="shared" si="8"/>
        <v>-700000</v>
      </c>
      <c r="G19" s="30">
        <v>500000</v>
      </c>
      <c r="H19" s="30">
        <f t="shared" ref="H19:H26" si="10">I19-G19</f>
        <v>-150000</v>
      </c>
      <c r="I19" s="30">
        <f>pingresos2018!M10</f>
        <v>350000</v>
      </c>
      <c r="J19" s="30">
        <f t="shared" ref="J19:J26" si="11">K19-I19</f>
        <v>30000</v>
      </c>
      <c r="K19" s="30">
        <v>380000</v>
      </c>
      <c r="L19" s="30">
        <f t="shared" ref="L19:L26" si="12">M19-K19</f>
        <v>150000</v>
      </c>
      <c r="M19" s="30">
        <v>530000</v>
      </c>
      <c r="N19" s="30">
        <f t="shared" ref="N19:N26" si="13">O19-M19</f>
        <v>75000</v>
      </c>
      <c r="O19" s="30">
        <f>pingresos2018!T10</f>
        <v>605000</v>
      </c>
      <c r="P19" s="30">
        <f t="shared" ref="P19:P26" si="14">Q19-O19</f>
        <v>295000</v>
      </c>
      <c r="Q19" s="30">
        <f>pingresos2018!V10</f>
        <v>900000</v>
      </c>
      <c r="R19" s="31">
        <f t="shared" si="9"/>
        <v>0.48760330578512395</v>
      </c>
      <c r="S19" s="31">
        <f>Q19/Q27</f>
        <v>1.6980297304833216E-2</v>
      </c>
    </row>
    <row r="20" spans="1:19" ht="15.75">
      <c r="A20" s="33">
        <v>3</v>
      </c>
      <c r="B20" s="33" t="s">
        <v>622</v>
      </c>
      <c r="C20" s="30">
        <v>19621501.09</v>
      </c>
      <c r="D20" s="30">
        <v>-313056.65999999997</v>
      </c>
      <c r="E20" s="30">
        <v>17513407.93</v>
      </c>
      <c r="F20" s="30">
        <f t="shared" si="8"/>
        <v>-5624060.0999999996</v>
      </c>
      <c r="G20" s="30">
        <v>11889347.83</v>
      </c>
      <c r="H20" s="30">
        <f t="shared" si="10"/>
        <v>-338351.25999999978</v>
      </c>
      <c r="I20" s="30">
        <f>pingresos2018!M65</f>
        <v>11550996.57</v>
      </c>
      <c r="J20" s="30">
        <f t="shared" si="11"/>
        <v>-157205.97000000067</v>
      </c>
      <c r="K20" s="30">
        <v>11393790.6</v>
      </c>
      <c r="L20" s="30">
        <f t="shared" si="12"/>
        <v>267588.24000000022</v>
      </c>
      <c r="M20" s="30">
        <v>11661378.84</v>
      </c>
      <c r="N20" s="30">
        <f t="shared" si="13"/>
        <v>300341.08999999985</v>
      </c>
      <c r="O20" s="30">
        <f>pingresos2018!T65</f>
        <v>11961719.93</v>
      </c>
      <c r="P20" s="30">
        <f t="shared" si="14"/>
        <v>175338.69999999925</v>
      </c>
      <c r="Q20" s="30">
        <f>pingresos2018!V65</f>
        <v>12137058.629999999</v>
      </c>
      <c r="R20" s="31">
        <f t="shared" si="9"/>
        <v>1.4658318454710656E-2</v>
      </c>
      <c r="S20" s="31">
        <f>Q20/Q27</f>
        <v>0.22898984882621298</v>
      </c>
    </row>
    <row r="21" spans="1:19" ht="15.75">
      <c r="A21" s="33">
        <v>4</v>
      </c>
      <c r="B21" s="33" t="s">
        <v>612</v>
      </c>
      <c r="C21" s="30">
        <v>10623005.109999999</v>
      </c>
      <c r="D21" s="30">
        <v>804809</v>
      </c>
      <c r="E21" s="30">
        <v>9933528.1600000001</v>
      </c>
      <c r="F21" s="30">
        <f t="shared" si="8"/>
        <v>-356984.93999999948</v>
      </c>
      <c r="G21" s="30">
        <v>9576543.2200000007</v>
      </c>
      <c r="H21" s="30">
        <f t="shared" si="10"/>
        <v>966379.59999999963</v>
      </c>
      <c r="I21" s="30">
        <f>pingresos2018!M80</f>
        <v>10542922.82</v>
      </c>
      <c r="J21" s="30">
        <f t="shared" si="11"/>
        <v>270141.6799999997</v>
      </c>
      <c r="K21" s="30">
        <v>10813064.5</v>
      </c>
      <c r="L21" s="30">
        <f t="shared" si="12"/>
        <v>280961.61999999918</v>
      </c>
      <c r="M21" s="30">
        <v>11094026.119999999</v>
      </c>
      <c r="N21" s="30">
        <f t="shared" si="13"/>
        <v>801396.18999999948</v>
      </c>
      <c r="O21" s="30">
        <f>pingresos2018!T80</f>
        <v>11895422.309999999</v>
      </c>
      <c r="P21" s="30">
        <f t="shared" si="14"/>
        <v>688337.69000000134</v>
      </c>
      <c r="Q21" s="30">
        <f>pingresos2018!V80</f>
        <v>12583760</v>
      </c>
      <c r="R21" s="31">
        <f t="shared" si="9"/>
        <v>5.7865763153389163E-2</v>
      </c>
      <c r="S21" s="31">
        <f>Q21/Q27</f>
        <v>0.23741776223629779</v>
      </c>
    </row>
    <row r="22" spans="1:19" ht="15.75">
      <c r="A22" s="33">
        <v>5</v>
      </c>
      <c r="B22" s="33" t="s">
        <v>623</v>
      </c>
      <c r="C22" s="30">
        <v>819000</v>
      </c>
      <c r="D22" s="30">
        <v>-189000</v>
      </c>
      <c r="E22" s="30">
        <v>460000</v>
      </c>
      <c r="F22" s="30">
        <f t="shared" si="8"/>
        <v>979550</v>
      </c>
      <c r="G22" s="30">
        <v>1439550</v>
      </c>
      <c r="H22" s="30">
        <f t="shared" si="10"/>
        <v>-1043750</v>
      </c>
      <c r="I22" s="30">
        <f>pingresos2018!M87</f>
        <v>395800</v>
      </c>
      <c r="J22" s="30">
        <f t="shared" si="11"/>
        <v>52200</v>
      </c>
      <c r="K22" s="30">
        <v>448000</v>
      </c>
      <c r="L22" s="30">
        <f t="shared" si="12"/>
        <v>20000</v>
      </c>
      <c r="M22" s="30">
        <v>468000</v>
      </c>
      <c r="N22" s="30">
        <f t="shared" si="13"/>
        <v>-27000</v>
      </c>
      <c r="O22" s="30">
        <f>pingresos2018!T87</f>
        <v>441000</v>
      </c>
      <c r="P22" s="30">
        <f t="shared" si="14"/>
        <v>3000</v>
      </c>
      <c r="Q22" s="30">
        <f>pingresos2018!V87</f>
        <v>444000</v>
      </c>
      <c r="R22" s="31">
        <f t="shared" si="9"/>
        <v>6.8027210884353739E-3</v>
      </c>
      <c r="S22" s="31">
        <f>Q22/Q27</f>
        <v>8.3769466703843866E-3</v>
      </c>
    </row>
    <row r="23" spans="1:19" ht="15.75">
      <c r="A23" s="33">
        <v>6</v>
      </c>
      <c r="B23" s="33" t="s">
        <v>624</v>
      </c>
      <c r="C23" s="30">
        <v>0</v>
      </c>
      <c r="D23" s="30">
        <v>0</v>
      </c>
      <c r="E23" s="30">
        <v>0</v>
      </c>
      <c r="F23" s="30">
        <f t="shared" si="8"/>
        <v>0</v>
      </c>
      <c r="G23" s="30">
        <v>0</v>
      </c>
      <c r="H23" s="30">
        <f t="shared" si="10"/>
        <v>0</v>
      </c>
      <c r="I23" s="30">
        <v>0</v>
      </c>
      <c r="J23" s="30">
        <f t="shared" si="11"/>
        <v>0</v>
      </c>
      <c r="K23" s="30">
        <v>0</v>
      </c>
      <c r="L23" s="30">
        <f t="shared" si="12"/>
        <v>0</v>
      </c>
      <c r="M23" s="30">
        <v>0</v>
      </c>
      <c r="N23" s="30">
        <f t="shared" si="13"/>
        <v>0</v>
      </c>
      <c r="O23" s="30">
        <v>0</v>
      </c>
      <c r="P23" s="30">
        <f t="shared" si="14"/>
        <v>0</v>
      </c>
      <c r="Q23" s="30">
        <v>0</v>
      </c>
      <c r="R23" s="31">
        <v>0</v>
      </c>
      <c r="S23" s="31">
        <f>O23/O27</f>
        <v>0</v>
      </c>
    </row>
    <row r="24" spans="1:19" ht="15.75">
      <c r="A24" s="33">
        <v>7</v>
      </c>
      <c r="B24" s="33" t="s">
        <v>625</v>
      </c>
      <c r="C24" s="30">
        <v>3771140.75</v>
      </c>
      <c r="D24" s="30">
        <v>-1427075.7</v>
      </c>
      <c r="E24" s="30">
        <v>2036619.89</v>
      </c>
      <c r="F24" s="30">
        <f t="shared" si="8"/>
        <v>-2036619.89</v>
      </c>
      <c r="G24" s="30">
        <v>0</v>
      </c>
      <c r="H24" s="30">
        <f t="shared" si="10"/>
        <v>0</v>
      </c>
      <c r="I24" s="30">
        <f>pingresos2018!M93</f>
        <v>0</v>
      </c>
      <c r="J24" s="30">
        <f t="shared" si="11"/>
        <v>0</v>
      </c>
      <c r="K24" s="30">
        <v>0</v>
      </c>
      <c r="L24" s="30">
        <f t="shared" si="12"/>
        <v>0</v>
      </c>
      <c r="M24" s="30">
        <v>0</v>
      </c>
      <c r="N24" s="30">
        <f t="shared" si="13"/>
        <v>186250</v>
      </c>
      <c r="O24" s="30">
        <f>pingresos2018!T93</f>
        <v>186250</v>
      </c>
      <c r="P24" s="30">
        <f t="shared" si="14"/>
        <v>511394.23</v>
      </c>
      <c r="Q24" s="30">
        <f>pingresos2018!V93</f>
        <v>697644.23</v>
      </c>
      <c r="R24" s="31">
        <f t="shared" si="9"/>
        <v>2.7457408322147652</v>
      </c>
      <c r="S24" s="31">
        <f>Q24/Q27</f>
        <v>1.3162451598223825E-2</v>
      </c>
    </row>
    <row r="25" spans="1:19" ht="15.75">
      <c r="A25" s="33">
        <v>8</v>
      </c>
      <c r="B25" s="33" t="s">
        <v>615</v>
      </c>
      <c r="C25" s="30">
        <v>0</v>
      </c>
      <c r="D25" s="30">
        <v>0</v>
      </c>
      <c r="E25" s="30">
        <v>0</v>
      </c>
      <c r="F25" s="30">
        <f t="shared" si="8"/>
        <v>0</v>
      </c>
      <c r="G25" s="30">
        <v>0</v>
      </c>
      <c r="H25" s="30">
        <f t="shared" si="10"/>
        <v>0</v>
      </c>
      <c r="I25" s="30">
        <v>0</v>
      </c>
      <c r="J25" s="30">
        <f t="shared" si="11"/>
        <v>0</v>
      </c>
      <c r="K25" s="30">
        <v>0</v>
      </c>
      <c r="L25" s="30">
        <f t="shared" si="12"/>
        <v>0</v>
      </c>
      <c r="M25" s="30">
        <v>0</v>
      </c>
      <c r="N25" s="30">
        <f t="shared" si="13"/>
        <v>0</v>
      </c>
      <c r="O25" s="30">
        <v>0</v>
      </c>
      <c r="P25" s="30">
        <f t="shared" si="14"/>
        <v>0</v>
      </c>
      <c r="Q25" s="30">
        <v>0</v>
      </c>
      <c r="R25" s="31">
        <v>0</v>
      </c>
      <c r="S25" s="31">
        <f>O25/O27</f>
        <v>0</v>
      </c>
    </row>
    <row r="26" spans="1:19" ht="15.75">
      <c r="A26" s="33">
        <v>9</v>
      </c>
      <c r="B26" s="33" t="s">
        <v>616</v>
      </c>
      <c r="C26" s="30">
        <v>5923530.4900000002</v>
      </c>
      <c r="D26" s="30">
        <v>-2949260.16</v>
      </c>
      <c r="E26" s="30">
        <v>0</v>
      </c>
      <c r="F26" s="30">
        <f t="shared" si="8"/>
        <v>0</v>
      </c>
      <c r="G26" s="30">
        <v>0</v>
      </c>
      <c r="H26" s="30">
        <f t="shared" si="10"/>
        <v>0</v>
      </c>
      <c r="I26" s="30">
        <f>pingresos2018!M95</f>
        <v>0</v>
      </c>
      <c r="J26" s="30">
        <f t="shared" si="11"/>
        <v>0</v>
      </c>
      <c r="K26" s="30">
        <v>0</v>
      </c>
      <c r="L26" s="30">
        <f t="shared" si="12"/>
        <v>0</v>
      </c>
      <c r="M26" s="30">
        <v>0</v>
      </c>
      <c r="N26" s="30">
        <f t="shared" si="13"/>
        <v>0</v>
      </c>
      <c r="O26" s="30">
        <f>pingresos2018!T95</f>
        <v>0</v>
      </c>
      <c r="P26" s="30">
        <f t="shared" si="14"/>
        <v>0</v>
      </c>
      <c r="Q26" s="30">
        <f>pingresos2018!V95</f>
        <v>0</v>
      </c>
      <c r="R26" s="31">
        <v>0</v>
      </c>
      <c r="S26" s="31">
        <f>O26/O27</f>
        <v>0</v>
      </c>
    </row>
    <row r="27" spans="1:19" ht="15.75">
      <c r="A27" s="33"/>
      <c r="B27" s="33" t="s">
        <v>617</v>
      </c>
      <c r="C27" s="32">
        <f t="shared" ref="C27:S27" si="15">SUM(C18:C26)</f>
        <v>63474618.450000003</v>
      </c>
      <c r="D27" s="32">
        <f t="shared" si="15"/>
        <v>-4944584.8600000003</v>
      </c>
      <c r="E27" s="32">
        <f t="shared" si="15"/>
        <v>55587995.650000006</v>
      </c>
      <c r="F27" s="32">
        <f t="shared" si="15"/>
        <v>-8407036.0100000016</v>
      </c>
      <c r="G27" s="32">
        <f t="shared" si="15"/>
        <v>47180959.640000001</v>
      </c>
      <c r="H27" s="32">
        <f>SUM(H18:H26)</f>
        <v>-861653.5</v>
      </c>
      <c r="I27" s="32">
        <f t="shared" si="15"/>
        <v>46319306.140000001</v>
      </c>
      <c r="J27" s="32">
        <f t="shared" si="15"/>
        <v>1330122.709999999</v>
      </c>
      <c r="K27" s="32">
        <f t="shared" si="15"/>
        <v>47649428.850000001</v>
      </c>
      <c r="L27" s="32">
        <f t="shared" si="15"/>
        <v>1791724.4899999984</v>
      </c>
      <c r="M27" s="32">
        <f>SUM(M18:M26)</f>
        <v>49441153.339999996</v>
      </c>
      <c r="N27" s="32">
        <f t="shared" ref="N27:Q27" si="16">SUM(N18:N26)</f>
        <v>2464541.67</v>
      </c>
      <c r="O27" s="32">
        <f t="shared" si="16"/>
        <v>51905695.010000005</v>
      </c>
      <c r="P27" s="32">
        <f t="shared" si="16"/>
        <v>1096910.5300000007</v>
      </c>
      <c r="Q27" s="32">
        <f t="shared" si="16"/>
        <v>53002605.539999999</v>
      </c>
      <c r="R27" s="49">
        <f t="shared" ref="R27" si="17">P27/O27</f>
        <v>2.113275874234365E-2</v>
      </c>
      <c r="S27" s="36">
        <f t="shared" si="15"/>
        <v>0.99999999999999989</v>
      </c>
    </row>
    <row r="29" spans="1:19" s="28" customFormat="1" ht="15.75">
      <c r="B29" s="27" t="s">
        <v>651</v>
      </c>
      <c r="E29" s="37">
        <f>E27-E13</f>
        <v>539105.3900000006</v>
      </c>
      <c r="G29" s="37">
        <f>G27-G13</f>
        <v>0</v>
      </c>
      <c r="H29" s="37"/>
      <c r="I29" s="37">
        <f>I27-I13</f>
        <v>0</v>
      </c>
      <c r="J29" s="37"/>
      <c r="K29" s="37">
        <f>K27-K13</f>
        <v>0</v>
      </c>
      <c r="L29" s="37"/>
      <c r="M29" s="37">
        <f>M27-M13</f>
        <v>0</v>
      </c>
      <c r="N29" s="37"/>
      <c r="O29" s="37">
        <f>O27-O13</f>
        <v>0</v>
      </c>
      <c r="P29" s="37"/>
      <c r="Q29" s="37">
        <f>Q27-Q13</f>
        <v>-1.8000155687332153E-3</v>
      </c>
    </row>
    <row r="531" spans="1:3">
      <c r="A531">
        <v>33800</v>
      </c>
      <c r="B531">
        <v>22101</v>
      </c>
      <c r="C531" s="40" t="s">
        <v>248</v>
      </c>
    </row>
  </sheetData>
  <customSheetViews>
    <customSheetView guid="{4A056693-7DCB-4AEF-AE29-22F0297A0964}" showPageBreaks="1" hiddenColumns="1">
      <selection activeCell="K10" sqref="K10"/>
      <pageMargins left="0.75" right="0.75" top="1" bottom="1" header="0" footer="0"/>
      <pageSetup paperSize="9" orientation="landscape" r:id="rId1"/>
      <headerFooter alignWithMargins="0"/>
    </customSheetView>
  </customSheetViews>
  <phoneticPr fontId="3" type="noConversion"/>
  <pageMargins left="0.75" right="0.75" top="1" bottom="1" header="0" footer="0"/>
  <pageSetup paperSize="9" orientation="landscape" r:id="rId2"/>
  <headerFooter alignWithMargins="0">
    <oddHeader>&amp;C&amp;"Arial,Negrita"&amp;12PRESUPUESTO GENERAL 2.018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1047"/>
  <sheetViews>
    <sheetView showOutlineSymbols="0" showWhiteSpace="0" topLeftCell="A502" zoomScaleNormal="100" workbookViewId="0">
      <selection activeCell="A538" sqref="A538:XFD538"/>
    </sheetView>
  </sheetViews>
  <sheetFormatPr baseColWidth="10" defaultRowHeight="12.75" outlineLevelRow="2"/>
  <cols>
    <col min="1" max="1" width="8.85546875" style="11" customWidth="1"/>
    <col min="2" max="2" width="6.85546875" customWidth="1"/>
    <col min="3" max="3" width="51.7109375" customWidth="1"/>
    <col min="4" max="7" width="11.42578125" hidden="1" customWidth="1"/>
    <col min="8" max="8" width="13.7109375" hidden="1" customWidth="1"/>
    <col min="9" max="9" width="12.42578125" hidden="1" customWidth="1"/>
    <col min="10" max="10" width="12.5703125" hidden="1" customWidth="1"/>
    <col min="11" max="11" width="12.28515625" hidden="1" customWidth="1"/>
    <col min="12" max="12" width="12.42578125" hidden="1" customWidth="1"/>
    <col min="13" max="13" width="14.28515625" style="7" hidden="1" customWidth="1"/>
    <col min="14" max="15" width="12.42578125" hidden="1" customWidth="1"/>
    <col min="16" max="16" width="14.5703125" style="1" hidden="1" customWidth="1"/>
    <col min="17" max="17" width="12.5703125" style="1" hidden="1" customWidth="1"/>
    <col min="18" max="18" width="13" style="1" hidden="1" customWidth="1"/>
    <col min="19" max="19" width="14.5703125" style="1" hidden="1" customWidth="1"/>
    <col min="20" max="20" width="12.7109375" hidden="1" customWidth="1"/>
    <col min="21" max="21" width="13.42578125" style="1" hidden="1" customWidth="1"/>
    <col min="22" max="22" width="13.42578125" hidden="1" customWidth="1"/>
    <col min="23" max="23" width="13.140625" hidden="1" customWidth="1"/>
    <col min="24" max="24" width="13.42578125" style="1" hidden="1" customWidth="1"/>
    <col min="25" max="25" width="13.140625" hidden="1" customWidth="1"/>
    <col min="26" max="26" width="12.5703125" hidden="1" customWidth="1"/>
    <col min="27" max="27" width="12.5703125" style="1" hidden="1" customWidth="1"/>
    <col min="28" max="28" width="13.42578125" hidden="1" customWidth="1"/>
    <col min="29" max="29" width="12.42578125" customWidth="1"/>
    <col min="30" max="30" width="13.5703125" style="41" customWidth="1"/>
    <col min="31" max="31" width="13.42578125" customWidth="1"/>
    <col min="32" max="32" width="12.5703125" customWidth="1"/>
  </cols>
  <sheetData>
    <row r="1" spans="1:32">
      <c r="A1" s="9" t="s">
        <v>668</v>
      </c>
      <c r="B1" s="9" t="s">
        <v>591</v>
      </c>
      <c r="C1" s="9" t="s">
        <v>592</v>
      </c>
      <c r="D1" s="9" t="s">
        <v>383</v>
      </c>
      <c r="E1" s="8" t="s">
        <v>56</v>
      </c>
      <c r="F1" s="9" t="s">
        <v>382</v>
      </c>
      <c r="G1" s="8" t="s">
        <v>54</v>
      </c>
      <c r="H1" s="9" t="s">
        <v>55</v>
      </c>
      <c r="I1" s="8" t="s">
        <v>56</v>
      </c>
      <c r="J1" s="9" t="s">
        <v>382</v>
      </c>
      <c r="K1" s="8" t="s">
        <v>54</v>
      </c>
      <c r="L1" s="8" t="s">
        <v>381</v>
      </c>
      <c r="M1" s="8" t="s">
        <v>626</v>
      </c>
      <c r="N1" s="8" t="s">
        <v>630</v>
      </c>
      <c r="O1" s="8"/>
      <c r="P1" s="8" t="s">
        <v>626</v>
      </c>
      <c r="Q1" s="8" t="s">
        <v>657</v>
      </c>
      <c r="R1" s="8" t="s">
        <v>672</v>
      </c>
      <c r="S1" s="8" t="s">
        <v>626</v>
      </c>
      <c r="T1" s="8" t="s">
        <v>673</v>
      </c>
      <c r="U1" s="3" t="s">
        <v>672</v>
      </c>
      <c r="V1" s="8" t="s">
        <v>626</v>
      </c>
      <c r="W1" s="8" t="s">
        <v>718</v>
      </c>
      <c r="X1" s="8" t="s">
        <v>672</v>
      </c>
      <c r="Y1" s="8" t="s">
        <v>778</v>
      </c>
      <c r="Z1" s="8" t="s">
        <v>777</v>
      </c>
      <c r="AA1" s="8" t="s">
        <v>672</v>
      </c>
      <c r="AB1" s="8" t="s">
        <v>778</v>
      </c>
      <c r="AC1" s="8" t="s">
        <v>839</v>
      </c>
      <c r="AD1" s="8" t="s">
        <v>672</v>
      </c>
      <c r="AE1" s="8" t="s">
        <v>778</v>
      </c>
      <c r="AF1" s="8" t="s">
        <v>905</v>
      </c>
    </row>
    <row r="2" spans="1:32" outlineLevel="2">
      <c r="A2" s="11">
        <v>1100</v>
      </c>
      <c r="B2" s="11">
        <v>31000</v>
      </c>
      <c r="C2" s="11" t="s">
        <v>224</v>
      </c>
      <c r="D2" s="7">
        <v>1062000</v>
      </c>
      <c r="E2" s="7"/>
      <c r="F2" s="7">
        <f>D2-E2</f>
        <v>1062000</v>
      </c>
      <c r="G2" s="7">
        <v>-22000</v>
      </c>
      <c r="H2" s="7">
        <f>D2+G2</f>
        <v>1040000</v>
      </c>
      <c r="I2" s="1"/>
      <c r="J2" s="1">
        <f>H2-I2</f>
        <v>1040000</v>
      </c>
      <c r="K2" s="1">
        <v>-250000</v>
      </c>
      <c r="L2" s="1">
        <f>H2+K2</f>
        <v>790000</v>
      </c>
      <c r="M2" s="7">
        <v>310000</v>
      </c>
      <c r="N2" s="1">
        <f>L2+M2</f>
        <v>1100000</v>
      </c>
      <c r="O2" s="1"/>
      <c r="P2" s="1">
        <f>1673000-N2</f>
        <v>573000</v>
      </c>
      <c r="Q2" s="1">
        <f>N2+P2</f>
        <v>1673000</v>
      </c>
      <c r="R2" s="1">
        <v>1600000</v>
      </c>
      <c r="S2" s="1">
        <v>-240000</v>
      </c>
      <c r="T2" s="1">
        <f>Q2+S2</f>
        <v>1433000</v>
      </c>
      <c r="U2" s="1">
        <v>980000</v>
      </c>
      <c r="V2" s="1">
        <f>U2-T2</f>
        <v>-453000</v>
      </c>
      <c r="W2" s="1">
        <f>T2+V2</f>
        <v>980000</v>
      </c>
      <c r="X2" s="1">
        <v>600000</v>
      </c>
      <c r="Y2" s="41">
        <f>X2-W2</f>
        <v>-380000</v>
      </c>
      <c r="Z2" s="1">
        <f>W2+Y2</f>
        <v>600000</v>
      </c>
      <c r="AA2" s="1">
        <v>415000</v>
      </c>
      <c r="AB2" s="1">
        <f>AA2-Z2</f>
        <v>-185000</v>
      </c>
      <c r="AC2" s="1">
        <f>Z2+AB2</f>
        <v>415000</v>
      </c>
      <c r="AD2" s="41">
        <v>350000</v>
      </c>
      <c r="AE2" s="1">
        <f t="shared" ref="AE2:AE71" si="0">AD2-AC2</f>
        <v>-65000</v>
      </c>
      <c r="AF2" s="1">
        <f>AC2+AE2</f>
        <v>350000</v>
      </c>
    </row>
    <row r="3" spans="1:32" outlineLevel="2">
      <c r="A3" s="11">
        <v>1100</v>
      </c>
      <c r="B3" s="11">
        <v>31001</v>
      </c>
      <c r="C3" s="11" t="s">
        <v>225</v>
      </c>
      <c r="D3" s="7">
        <v>21000</v>
      </c>
      <c r="E3" s="7"/>
      <c r="F3" s="7">
        <f>D3-E3</f>
        <v>21000</v>
      </c>
      <c r="G3" s="7"/>
      <c r="H3" s="7">
        <f>D3+G3</f>
        <v>21000</v>
      </c>
      <c r="I3" s="1"/>
      <c r="J3" s="1">
        <f>H3-I3</f>
        <v>21000</v>
      </c>
      <c r="K3" s="1"/>
      <c r="L3" s="1">
        <f>H3+K3</f>
        <v>21000</v>
      </c>
      <c r="M3" s="7">
        <v>20000</v>
      </c>
      <c r="N3" s="1">
        <f>L3+M3</f>
        <v>41000</v>
      </c>
      <c r="O3" s="1"/>
      <c r="P3" s="1">
        <v>9000</v>
      </c>
      <c r="Q3" s="1">
        <f>N3+P3</f>
        <v>50000</v>
      </c>
      <c r="S3" s="41">
        <v>0</v>
      </c>
      <c r="T3" s="1">
        <f>Q3+S3</f>
        <v>50000</v>
      </c>
      <c r="U3" s="1">
        <v>10000</v>
      </c>
      <c r="V3" s="1">
        <f t="shared" ref="V3:V4" si="1">U3-T3</f>
        <v>-40000</v>
      </c>
      <c r="W3" s="1">
        <f t="shared" ref="W3:W4" si="2">T3+V3</f>
        <v>10000</v>
      </c>
      <c r="X3" s="1">
        <v>10000</v>
      </c>
      <c r="Y3" s="41">
        <f t="shared" ref="Y3:Y77" si="3">X3-W3</f>
        <v>0</v>
      </c>
      <c r="Z3" s="1">
        <f t="shared" ref="Z3:AA77" si="4">W3+Y3</f>
        <v>10000</v>
      </c>
      <c r="AA3" s="1">
        <v>0</v>
      </c>
      <c r="AB3" s="1">
        <f t="shared" ref="AB3:AB4" si="5">AA3-Z3</f>
        <v>-10000</v>
      </c>
      <c r="AC3" s="1">
        <f t="shared" ref="AC3:AC78" si="6">Z3+AB3</f>
        <v>0</v>
      </c>
      <c r="AD3" s="41">
        <v>0</v>
      </c>
      <c r="AE3" s="1">
        <f t="shared" si="0"/>
        <v>0</v>
      </c>
      <c r="AF3" s="1">
        <f t="shared" ref="AF3:AF4" si="7">AC3+AE3</f>
        <v>0</v>
      </c>
    </row>
    <row r="4" spans="1:32" outlineLevel="2">
      <c r="A4" s="11">
        <v>1100</v>
      </c>
      <c r="B4" s="11">
        <v>91300</v>
      </c>
      <c r="C4" s="11" t="s">
        <v>226</v>
      </c>
      <c r="D4" s="7">
        <v>3304510.16</v>
      </c>
      <c r="E4" s="7">
        <v>2974554.39</v>
      </c>
      <c r="F4" s="7">
        <f>D4-E4</f>
        <v>329955.77</v>
      </c>
      <c r="G4" s="7">
        <v>-329955.77</v>
      </c>
      <c r="H4" s="7">
        <f>D4+G4</f>
        <v>2974554.39</v>
      </c>
      <c r="I4" s="7">
        <v>2409501.27</v>
      </c>
      <c r="J4" s="1">
        <f>H4-I4</f>
        <v>565053.12000000011</v>
      </c>
      <c r="K4" s="1">
        <v>-565053.12</v>
      </c>
      <c r="L4" s="1">
        <f>H4+K4</f>
        <v>2409501.27</v>
      </c>
      <c r="M4" s="7">
        <f>3527825.92-L4</f>
        <v>1118324.6499999999</v>
      </c>
      <c r="N4" s="1">
        <f>L4+M4</f>
        <v>3527825.92</v>
      </c>
      <c r="O4" s="1"/>
      <c r="P4" s="1">
        <f>4209000-N4</f>
        <v>681174.08000000007</v>
      </c>
      <c r="Q4" s="1">
        <f>N4+P4</f>
        <v>4209000</v>
      </c>
      <c r="R4" s="1">
        <v>2813390</v>
      </c>
      <c r="S4" s="1">
        <f>R4-Q4</f>
        <v>-1395610</v>
      </c>
      <c r="T4" s="1">
        <f>Q4+S4</f>
        <v>2813390</v>
      </c>
      <c r="U4" s="1">
        <v>3205000</v>
      </c>
      <c r="V4" s="1">
        <f t="shared" si="1"/>
        <v>391610</v>
      </c>
      <c r="W4" s="1">
        <f t="shared" si="2"/>
        <v>3205000</v>
      </c>
      <c r="X4" s="1">
        <v>3630000</v>
      </c>
      <c r="Y4" s="41">
        <f t="shared" si="3"/>
        <v>425000</v>
      </c>
      <c r="Z4" s="1">
        <f t="shared" si="4"/>
        <v>3630000</v>
      </c>
      <c r="AA4" s="1">
        <v>3645000</v>
      </c>
      <c r="AB4" s="1">
        <f t="shared" si="5"/>
        <v>15000</v>
      </c>
      <c r="AC4" s="1">
        <f t="shared" si="6"/>
        <v>3645000</v>
      </c>
      <c r="AD4" s="41">
        <v>3945000</v>
      </c>
      <c r="AE4" s="1">
        <f t="shared" si="0"/>
        <v>300000</v>
      </c>
      <c r="AF4" s="1">
        <f t="shared" si="7"/>
        <v>3945000</v>
      </c>
    </row>
    <row r="5" spans="1:32" s="2" customFormat="1" outlineLevel="1">
      <c r="A5" s="12" t="s">
        <v>593</v>
      </c>
      <c r="B5" s="9"/>
      <c r="C5" s="9" t="s">
        <v>28</v>
      </c>
      <c r="D5" s="8">
        <f t="shared" ref="D5:Q5" si="8">SUBTOTAL(9,D2:D4)</f>
        <v>4387510.16</v>
      </c>
      <c r="E5" s="8">
        <f t="shared" si="8"/>
        <v>2974554.39</v>
      </c>
      <c r="F5" s="8">
        <f t="shared" si="8"/>
        <v>1412955.77</v>
      </c>
      <c r="G5" s="8">
        <f t="shared" si="8"/>
        <v>-351955.77</v>
      </c>
      <c r="H5" s="8">
        <f t="shared" si="8"/>
        <v>4035554.39</v>
      </c>
      <c r="I5" s="8">
        <f t="shared" si="8"/>
        <v>2409501.27</v>
      </c>
      <c r="J5" s="8">
        <f t="shared" si="8"/>
        <v>1626053.12</v>
      </c>
      <c r="K5" s="8">
        <f t="shared" si="8"/>
        <v>-815053.12</v>
      </c>
      <c r="L5" s="8">
        <f t="shared" si="8"/>
        <v>3220501.27</v>
      </c>
      <c r="M5" s="8">
        <f t="shared" si="8"/>
        <v>1448324.65</v>
      </c>
      <c r="N5" s="8">
        <f t="shared" si="8"/>
        <v>4668825.92</v>
      </c>
      <c r="O5" s="8">
        <f t="shared" si="8"/>
        <v>0</v>
      </c>
      <c r="P5" s="8">
        <f t="shared" si="8"/>
        <v>1263174.08</v>
      </c>
      <c r="Q5" s="8">
        <f t="shared" si="8"/>
        <v>5932000</v>
      </c>
      <c r="R5" s="3"/>
      <c r="S5" s="8">
        <f>SUBTOTAL(9,S2:S4)</f>
        <v>-1635610</v>
      </c>
      <c r="T5" s="8">
        <f>SUBTOTAL(9,T2:T4)</f>
        <v>4296390</v>
      </c>
      <c r="U5" s="8">
        <f>SUBTOTAL(9,U2:U4)</f>
        <v>4195000</v>
      </c>
      <c r="V5" s="8">
        <f>SUBTOTAL(9,V2:V4)</f>
        <v>-101390</v>
      </c>
      <c r="W5" s="8">
        <f>SUBTOTAL(9,W2:W4)</f>
        <v>4195000</v>
      </c>
      <c r="X5" s="8">
        <f t="shared" ref="X5:AF5" si="9">SUBTOTAL(9,X2:X4)</f>
        <v>4240000</v>
      </c>
      <c r="Y5" s="8">
        <f t="shared" si="9"/>
        <v>45000</v>
      </c>
      <c r="Z5" s="8">
        <f t="shared" si="9"/>
        <v>4240000</v>
      </c>
      <c r="AA5" s="8">
        <f t="shared" si="9"/>
        <v>4060000</v>
      </c>
      <c r="AB5" s="8">
        <f t="shared" si="9"/>
        <v>-180000</v>
      </c>
      <c r="AC5" s="8">
        <f t="shared" si="9"/>
        <v>4060000</v>
      </c>
      <c r="AD5" s="8">
        <f t="shared" si="9"/>
        <v>4295000</v>
      </c>
      <c r="AE5" s="8">
        <f t="shared" si="9"/>
        <v>235000</v>
      </c>
      <c r="AF5" s="8">
        <f t="shared" si="9"/>
        <v>4295000</v>
      </c>
    </row>
    <row r="6" spans="1:32" outlineLevel="2">
      <c r="A6" s="11">
        <v>13000</v>
      </c>
      <c r="B6" s="11">
        <v>12000</v>
      </c>
      <c r="C6" s="11" t="s">
        <v>75</v>
      </c>
      <c r="D6" s="7">
        <v>227156.31</v>
      </c>
      <c r="E6" s="7">
        <v>20581.09</v>
      </c>
      <c r="F6" s="7">
        <f t="shared" ref="F6:F61" si="10">D6-E6</f>
        <v>206575.22</v>
      </c>
      <c r="G6" s="7">
        <v>-206575.22</v>
      </c>
      <c r="H6" s="7">
        <f t="shared" ref="H6:H61" si="11">D6+G6</f>
        <v>20581.089999999997</v>
      </c>
      <c r="I6" s="1">
        <v>14677.32</v>
      </c>
      <c r="J6" s="1">
        <f>H6-I6</f>
        <v>5903.7699999999968</v>
      </c>
      <c r="K6" s="1">
        <v>-5903.77</v>
      </c>
      <c r="L6" s="1">
        <f t="shared" ref="L6:L61" si="12">H6+K6</f>
        <v>14677.319999999996</v>
      </c>
      <c r="N6" s="1">
        <f t="shared" ref="N6:N31" si="13">L6+M6</f>
        <v>14677.319999999996</v>
      </c>
      <c r="O6" s="1">
        <v>14677.32</v>
      </c>
      <c r="P6" s="1">
        <f>O6-N6</f>
        <v>0</v>
      </c>
      <c r="Q6" s="1">
        <f t="shared" ref="Q6:Q33" si="14">N6+P6</f>
        <v>14677.319999999996</v>
      </c>
      <c r="R6" s="1">
        <v>14677.32</v>
      </c>
      <c r="S6" s="1">
        <f t="shared" ref="S6:S18" si="15">R6-Q6</f>
        <v>0</v>
      </c>
      <c r="T6" s="1">
        <f t="shared" ref="T6:U33" si="16">Q6+S6</f>
        <v>14677.319999999996</v>
      </c>
      <c r="U6" s="1">
        <v>14677.32</v>
      </c>
      <c r="V6" s="1">
        <f t="shared" ref="V6:V33" si="17">U6-T6</f>
        <v>0</v>
      </c>
      <c r="W6" s="1">
        <f t="shared" ref="W6:W82" si="18">T6+V6</f>
        <v>14677.319999999996</v>
      </c>
      <c r="X6" s="1">
        <v>16193.36</v>
      </c>
      <c r="Y6" s="41">
        <f t="shared" si="3"/>
        <v>1516.0400000000045</v>
      </c>
      <c r="Z6" s="1">
        <f t="shared" si="4"/>
        <v>16193.36</v>
      </c>
      <c r="AA6" s="1">
        <v>14972.45</v>
      </c>
      <c r="AB6" s="1">
        <f>AA6-Z6</f>
        <v>-1220.9099999999999</v>
      </c>
      <c r="AC6" s="1">
        <f t="shared" si="6"/>
        <v>14972.45</v>
      </c>
      <c r="AD6" s="41">
        <v>15197.15</v>
      </c>
      <c r="AE6" s="1">
        <f t="shared" si="0"/>
        <v>224.69999999999891</v>
      </c>
      <c r="AF6" s="1">
        <f t="shared" ref="AF6:AF74" si="19">AC6+AE6</f>
        <v>15197.15</v>
      </c>
    </row>
    <row r="7" spans="1:32" outlineLevel="2">
      <c r="A7" s="11">
        <v>13000</v>
      </c>
      <c r="B7" s="11">
        <v>12003</v>
      </c>
      <c r="C7" s="11" t="s">
        <v>76</v>
      </c>
      <c r="D7" s="7">
        <v>0</v>
      </c>
      <c r="E7" s="7">
        <v>62959.34</v>
      </c>
      <c r="F7" s="7">
        <f t="shared" si="10"/>
        <v>-62959.34</v>
      </c>
      <c r="G7" s="7">
        <v>62959.34</v>
      </c>
      <c r="H7" s="7">
        <f t="shared" si="11"/>
        <v>62959.34</v>
      </c>
      <c r="I7" s="1">
        <v>49424.2</v>
      </c>
      <c r="J7" s="1">
        <f t="shared" ref="J7:J61" si="20">H7-I7</f>
        <v>13535.14</v>
      </c>
      <c r="K7" s="1">
        <v>-13535.14</v>
      </c>
      <c r="L7" s="1">
        <f t="shared" si="12"/>
        <v>49424.2</v>
      </c>
      <c r="N7" s="1">
        <f t="shared" si="13"/>
        <v>49424.2</v>
      </c>
      <c r="O7" s="1">
        <v>49424.2</v>
      </c>
      <c r="P7" s="1">
        <f t="shared" ref="P7:P18" si="21">O7-N7</f>
        <v>0</v>
      </c>
      <c r="Q7" s="1">
        <f t="shared" si="14"/>
        <v>49424.2</v>
      </c>
      <c r="R7" s="1">
        <v>49424.2</v>
      </c>
      <c r="S7" s="1">
        <f t="shared" si="15"/>
        <v>0</v>
      </c>
      <c r="T7" s="1">
        <f t="shared" si="16"/>
        <v>49424.2</v>
      </c>
      <c r="U7" s="1">
        <v>49424.2</v>
      </c>
      <c r="V7" s="1">
        <f t="shared" si="17"/>
        <v>0</v>
      </c>
      <c r="W7" s="1">
        <f t="shared" si="18"/>
        <v>49424.2</v>
      </c>
      <c r="X7" s="1">
        <v>54742.3</v>
      </c>
      <c r="Y7" s="41">
        <f t="shared" si="3"/>
        <v>5318.1000000000058</v>
      </c>
      <c r="Z7" s="1">
        <f t="shared" si="4"/>
        <v>54742.3</v>
      </c>
      <c r="AA7" s="1">
        <v>71257.75</v>
      </c>
      <c r="AB7" s="1">
        <f t="shared" ref="AB7:AB33" si="22">AA7-Z7</f>
        <v>16515.449999999997</v>
      </c>
      <c r="AC7" s="1">
        <f t="shared" si="6"/>
        <v>71257.75</v>
      </c>
      <c r="AD7" s="41">
        <v>79450.070000000007</v>
      </c>
      <c r="AE7" s="1">
        <f t="shared" si="0"/>
        <v>8192.320000000007</v>
      </c>
      <c r="AF7" s="1">
        <f t="shared" si="19"/>
        <v>79450.070000000007</v>
      </c>
    </row>
    <row r="8" spans="1:32" outlineLevel="2">
      <c r="A8" s="11">
        <v>13000</v>
      </c>
      <c r="B8" s="11">
        <v>12004</v>
      </c>
      <c r="C8" s="11" t="s">
        <v>77</v>
      </c>
      <c r="D8" s="7">
        <v>0</v>
      </c>
      <c r="E8" s="7">
        <v>80832.56</v>
      </c>
      <c r="F8" s="7">
        <f t="shared" si="10"/>
        <v>-80832.56</v>
      </c>
      <c r="G8" s="7">
        <v>80832.56</v>
      </c>
      <c r="H8" s="7">
        <f t="shared" si="11"/>
        <v>80832.56</v>
      </c>
      <c r="I8" s="1">
        <v>73312.58</v>
      </c>
      <c r="J8" s="1">
        <f t="shared" si="20"/>
        <v>7519.9799999999959</v>
      </c>
      <c r="K8" s="1">
        <v>-7519.98</v>
      </c>
      <c r="L8" s="1">
        <f t="shared" si="12"/>
        <v>73312.58</v>
      </c>
      <c r="M8" s="7">
        <f>83785.8-L8</f>
        <v>10473.220000000001</v>
      </c>
      <c r="N8" s="1">
        <f t="shared" si="13"/>
        <v>83785.8</v>
      </c>
      <c r="O8" s="1">
        <v>75407.22</v>
      </c>
      <c r="P8" s="1">
        <f t="shared" si="21"/>
        <v>-8378.5800000000017</v>
      </c>
      <c r="Q8" s="1">
        <f t="shared" si="14"/>
        <v>75407.22</v>
      </c>
      <c r="R8" s="1">
        <v>67028.639999999999</v>
      </c>
      <c r="S8" s="1">
        <f t="shared" si="15"/>
        <v>-8378.5800000000017</v>
      </c>
      <c r="T8" s="1">
        <f t="shared" si="16"/>
        <v>67028.639999999999</v>
      </c>
      <c r="U8" s="1">
        <v>83785.8</v>
      </c>
      <c r="V8" s="1">
        <f t="shared" si="17"/>
        <v>16757.160000000003</v>
      </c>
      <c r="W8" s="1">
        <f t="shared" si="18"/>
        <v>83785.8</v>
      </c>
      <c r="X8" s="1">
        <v>92561.49</v>
      </c>
      <c r="Y8" s="41">
        <f t="shared" si="3"/>
        <v>8775.6900000000023</v>
      </c>
      <c r="Z8" s="1">
        <f t="shared" si="4"/>
        <v>92561.49</v>
      </c>
      <c r="AA8" s="1">
        <v>85470.8</v>
      </c>
      <c r="AB8" s="1">
        <f t="shared" si="22"/>
        <v>-7090.6900000000023</v>
      </c>
      <c r="AC8" s="1">
        <f t="shared" si="6"/>
        <v>85470.8</v>
      </c>
      <c r="AD8" s="41">
        <v>96154.29</v>
      </c>
      <c r="AE8" s="1">
        <f t="shared" si="0"/>
        <v>10683.489999999991</v>
      </c>
      <c r="AF8" s="1">
        <f t="shared" si="19"/>
        <v>96154.29</v>
      </c>
    </row>
    <row r="9" spans="1:32" outlineLevel="2">
      <c r="A9" s="11">
        <v>13000</v>
      </c>
      <c r="B9" s="11">
        <v>12005</v>
      </c>
      <c r="C9" s="42" t="s">
        <v>772</v>
      </c>
      <c r="D9" s="7">
        <v>0</v>
      </c>
      <c r="E9" s="7">
        <v>36193.870000000003</v>
      </c>
      <c r="F9" s="7">
        <f>D9-E9</f>
        <v>-36193.870000000003</v>
      </c>
      <c r="G9" s="7">
        <v>36193.870000000003</v>
      </c>
      <c r="H9" s="7">
        <f>D9+G9</f>
        <v>36193.870000000003</v>
      </c>
      <c r="I9" s="1">
        <v>33514.32</v>
      </c>
      <c r="J9" s="1">
        <f t="shared" si="20"/>
        <v>2679.5500000000029</v>
      </c>
      <c r="K9" s="1">
        <v>-2679.55</v>
      </c>
      <c r="L9" s="1">
        <f t="shared" si="12"/>
        <v>33514.32</v>
      </c>
      <c r="M9" s="7">
        <f>30714.32-L9</f>
        <v>-2800</v>
      </c>
      <c r="N9" s="1">
        <f t="shared" si="13"/>
        <v>30714.32</v>
      </c>
      <c r="O9" s="1">
        <v>30714.32</v>
      </c>
      <c r="P9" s="1">
        <f t="shared" si="21"/>
        <v>0</v>
      </c>
      <c r="Q9" s="1">
        <f t="shared" si="14"/>
        <v>30714.32</v>
      </c>
      <c r="R9" s="1">
        <v>23035.74</v>
      </c>
      <c r="S9" s="1">
        <f t="shared" si="15"/>
        <v>-7678.5799999999981</v>
      </c>
      <c r="T9" s="1">
        <f t="shared" si="16"/>
        <v>23035.74</v>
      </c>
      <c r="U9" s="1">
        <v>7678.58</v>
      </c>
      <c r="V9" s="1">
        <f t="shared" si="17"/>
        <v>-15357.160000000002</v>
      </c>
      <c r="W9" s="1">
        <f t="shared" si="18"/>
        <v>7678.58</v>
      </c>
      <c r="X9" s="1">
        <v>10471.040000000001</v>
      </c>
      <c r="Y9" s="41">
        <f t="shared" si="3"/>
        <v>2792.4600000000009</v>
      </c>
      <c r="Z9" s="1">
        <f t="shared" si="4"/>
        <v>10471.040000000001</v>
      </c>
      <c r="AA9" s="1">
        <v>7832.99</v>
      </c>
      <c r="AB9" s="1">
        <f t="shared" si="22"/>
        <v>-2638.0500000000011</v>
      </c>
      <c r="AC9" s="1">
        <f t="shared" si="6"/>
        <v>7832.99</v>
      </c>
      <c r="AD9" s="41">
        <v>7950.49</v>
      </c>
      <c r="AE9" s="1">
        <f t="shared" si="0"/>
        <v>117.5</v>
      </c>
      <c r="AF9" s="1">
        <f t="shared" si="19"/>
        <v>7950.49</v>
      </c>
    </row>
    <row r="10" spans="1:32" outlineLevel="2">
      <c r="A10" s="11">
        <v>13000</v>
      </c>
      <c r="B10" s="11">
        <v>12006</v>
      </c>
      <c r="C10" s="11" t="s">
        <v>81</v>
      </c>
      <c r="D10" s="7">
        <v>0</v>
      </c>
      <c r="E10" s="7">
        <v>19812.12</v>
      </c>
      <c r="F10" s="7">
        <f t="shared" si="10"/>
        <v>-19812.12</v>
      </c>
      <c r="G10" s="7">
        <v>19812.12</v>
      </c>
      <c r="H10" s="7">
        <f t="shared" si="11"/>
        <v>19812.12</v>
      </c>
      <c r="I10" s="1">
        <v>26064.560000000001</v>
      </c>
      <c r="J10" s="1">
        <f t="shared" si="20"/>
        <v>-6252.4400000000023</v>
      </c>
      <c r="K10" s="1">
        <v>6252.44</v>
      </c>
      <c r="L10" s="1">
        <f t="shared" si="12"/>
        <v>26064.559999999998</v>
      </c>
      <c r="M10" s="7">
        <f>27327.84-L10</f>
        <v>1263.2800000000025</v>
      </c>
      <c r="N10" s="1">
        <f t="shared" si="13"/>
        <v>27327.84</v>
      </c>
      <c r="O10" s="1">
        <v>28972.5</v>
      </c>
      <c r="P10" s="1">
        <f t="shared" si="21"/>
        <v>1644.6599999999999</v>
      </c>
      <c r="Q10" s="1">
        <f t="shared" si="14"/>
        <v>28972.5</v>
      </c>
      <c r="R10" s="1">
        <v>28732.51</v>
      </c>
      <c r="S10" s="1">
        <f t="shared" si="15"/>
        <v>-239.9900000000016</v>
      </c>
      <c r="T10" s="1">
        <f t="shared" si="16"/>
        <v>28732.51</v>
      </c>
      <c r="U10" s="1">
        <v>32366.49</v>
      </c>
      <c r="V10" s="1">
        <f t="shared" si="17"/>
        <v>3633.9800000000032</v>
      </c>
      <c r="W10" s="1">
        <f t="shared" si="18"/>
        <v>32366.49</v>
      </c>
      <c r="X10" s="1">
        <v>33903.06</v>
      </c>
      <c r="Y10" s="41">
        <f t="shared" si="3"/>
        <v>1536.5699999999961</v>
      </c>
      <c r="Z10" s="1">
        <f t="shared" si="4"/>
        <v>33903.06</v>
      </c>
      <c r="AA10" s="1">
        <v>39522.31</v>
      </c>
      <c r="AB10" s="1">
        <f t="shared" si="22"/>
        <v>5619.25</v>
      </c>
      <c r="AC10" s="1">
        <f t="shared" si="6"/>
        <v>39522.31</v>
      </c>
      <c r="AD10" s="41">
        <v>41092.800000000003</v>
      </c>
      <c r="AE10" s="1">
        <f t="shared" si="0"/>
        <v>1570.4900000000052</v>
      </c>
      <c r="AF10" s="1">
        <f t="shared" si="19"/>
        <v>41092.800000000003</v>
      </c>
    </row>
    <row r="11" spans="1:32" outlineLevel="2">
      <c r="A11" s="11">
        <v>13000</v>
      </c>
      <c r="B11" s="11">
        <v>12100</v>
      </c>
      <c r="C11" s="11" t="s">
        <v>78</v>
      </c>
      <c r="D11" s="7">
        <v>199182.18</v>
      </c>
      <c r="E11" s="7">
        <v>82530.8</v>
      </c>
      <c r="F11" s="7">
        <f t="shared" si="10"/>
        <v>116651.37999999999</v>
      </c>
      <c r="G11" s="7">
        <v>-116651.38</v>
      </c>
      <c r="H11" s="7">
        <f t="shared" si="11"/>
        <v>82530.799999999988</v>
      </c>
      <c r="I11" s="1">
        <v>95858.14</v>
      </c>
      <c r="J11" s="1">
        <f t="shared" si="20"/>
        <v>-13327.340000000011</v>
      </c>
      <c r="K11" s="1">
        <v>13327.34</v>
      </c>
      <c r="L11" s="1">
        <f t="shared" si="12"/>
        <v>95858.139999999985</v>
      </c>
      <c r="M11" s="7">
        <f>125200.32-L11</f>
        <v>29342.180000000022</v>
      </c>
      <c r="N11" s="1">
        <f t="shared" si="13"/>
        <v>125200.32000000001</v>
      </c>
      <c r="O11" s="1">
        <v>120931.02</v>
      </c>
      <c r="P11" s="1">
        <f t="shared" si="21"/>
        <v>-4269.3000000000029</v>
      </c>
      <c r="Q11" s="1">
        <f t="shared" si="14"/>
        <v>120931.02</v>
      </c>
      <c r="R11" s="1">
        <v>87521.7</v>
      </c>
      <c r="S11" s="1">
        <f t="shared" si="15"/>
        <v>-33409.320000000007</v>
      </c>
      <c r="T11" s="1">
        <f t="shared" si="16"/>
        <v>87521.7</v>
      </c>
      <c r="U11" s="1">
        <v>88779.18</v>
      </c>
      <c r="V11" s="1">
        <f t="shared" si="17"/>
        <v>1257.4799999999959</v>
      </c>
      <c r="W11" s="1">
        <f t="shared" si="18"/>
        <v>88779.18</v>
      </c>
      <c r="X11" s="1">
        <v>89666.96</v>
      </c>
      <c r="Y11" s="41">
        <f t="shared" si="3"/>
        <v>887.78000000001339</v>
      </c>
      <c r="Z11" s="1">
        <f t="shared" si="4"/>
        <v>89666.96</v>
      </c>
      <c r="AA11" s="1">
        <v>106495.08</v>
      </c>
      <c r="AB11" s="1">
        <f t="shared" si="22"/>
        <v>16828.119999999995</v>
      </c>
      <c r="AC11" s="1">
        <f t="shared" si="6"/>
        <v>106495.08</v>
      </c>
      <c r="AD11" s="41">
        <v>116615.34</v>
      </c>
      <c r="AE11" s="1">
        <f t="shared" si="0"/>
        <v>10120.259999999995</v>
      </c>
      <c r="AF11" s="1">
        <f t="shared" si="19"/>
        <v>116615.34</v>
      </c>
    </row>
    <row r="12" spans="1:32" outlineLevel="2">
      <c r="A12" s="11">
        <v>13000</v>
      </c>
      <c r="B12" s="11">
        <v>12101</v>
      </c>
      <c r="C12" s="11" t="s">
        <v>79</v>
      </c>
      <c r="D12" s="7">
        <v>0</v>
      </c>
      <c r="E12" s="7">
        <v>106970.03</v>
      </c>
      <c r="F12" s="7">
        <f t="shared" si="10"/>
        <v>-106970.03</v>
      </c>
      <c r="G12" s="7">
        <v>106970.03</v>
      </c>
      <c r="H12" s="7">
        <f t="shared" si="11"/>
        <v>106970.03</v>
      </c>
      <c r="I12" s="1">
        <v>159734.44</v>
      </c>
      <c r="J12" s="1">
        <f t="shared" si="20"/>
        <v>-52764.41</v>
      </c>
      <c r="K12" s="1">
        <v>52764.41</v>
      </c>
      <c r="L12" s="1">
        <f t="shared" si="12"/>
        <v>159734.44</v>
      </c>
      <c r="M12" s="7">
        <f>140045.22-L12</f>
        <v>-19689.22</v>
      </c>
      <c r="N12" s="1">
        <f t="shared" si="13"/>
        <v>140045.22</v>
      </c>
      <c r="O12" s="1">
        <v>137647.29999999999</v>
      </c>
      <c r="P12" s="1">
        <f t="shared" si="21"/>
        <v>-2397.9200000000128</v>
      </c>
      <c r="Q12" s="1">
        <f t="shared" si="14"/>
        <v>137647.29999999999</v>
      </c>
      <c r="R12" s="1">
        <v>138727.82</v>
      </c>
      <c r="S12" s="1">
        <f t="shared" si="15"/>
        <v>1080.5200000000186</v>
      </c>
      <c r="T12" s="1">
        <f t="shared" si="16"/>
        <v>138727.82</v>
      </c>
      <c r="U12" s="1">
        <v>138032.57999999999</v>
      </c>
      <c r="V12" s="1">
        <f t="shared" si="17"/>
        <v>-695.24000000001979</v>
      </c>
      <c r="W12" s="1">
        <f t="shared" si="18"/>
        <v>138032.57999999999</v>
      </c>
      <c r="X12" s="1">
        <v>139412.93</v>
      </c>
      <c r="Y12" s="41">
        <f t="shared" si="3"/>
        <v>1380.3500000000058</v>
      </c>
      <c r="Z12" s="1">
        <f t="shared" si="4"/>
        <v>139412.93</v>
      </c>
      <c r="AA12" s="1">
        <v>187331.58</v>
      </c>
      <c r="AB12" s="1">
        <f t="shared" si="22"/>
        <v>47918.649999999994</v>
      </c>
      <c r="AC12" s="1">
        <f t="shared" si="6"/>
        <v>187331.58</v>
      </c>
      <c r="AD12" s="41">
        <v>202490.03</v>
      </c>
      <c r="AE12" s="1">
        <f t="shared" si="0"/>
        <v>15158.450000000012</v>
      </c>
      <c r="AF12" s="1">
        <f t="shared" si="19"/>
        <v>202490.03</v>
      </c>
    </row>
    <row r="13" spans="1:32" outlineLevel="2">
      <c r="A13" s="11">
        <v>13000</v>
      </c>
      <c r="B13" s="11">
        <v>13000</v>
      </c>
      <c r="C13" s="11" t="s">
        <v>80</v>
      </c>
      <c r="D13" s="7">
        <v>32654.06</v>
      </c>
      <c r="E13" s="7">
        <v>43438.11</v>
      </c>
      <c r="F13" s="7">
        <f t="shared" si="10"/>
        <v>-10784.05</v>
      </c>
      <c r="G13" s="7">
        <v>10784.05</v>
      </c>
      <c r="H13" s="7">
        <f t="shared" si="11"/>
        <v>43438.11</v>
      </c>
      <c r="I13" s="1">
        <v>44026.78</v>
      </c>
      <c r="J13" s="1">
        <f t="shared" si="20"/>
        <v>-588.66999999999825</v>
      </c>
      <c r="K13" s="1">
        <v>588.66999999999996</v>
      </c>
      <c r="L13" s="1">
        <f t="shared" si="12"/>
        <v>44026.78</v>
      </c>
      <c r="M13" s="7">
        <f>8055.74-L13</f>
        <v>-35971.040000000001</v>
      </c>
      <c r="N13" s="1">
        <f t="shared" si="13"/>
        <v>8055.739999999998</v>
      </c>
      <c r="O13" s="1">
        <v>26659.31</v>
      </c>
      <c r="P13" s="1">
        <f t="shared" si="21"/>
        <v>18603.570000000003</v>
      </c>
      <c r="Q13" s="1">
        <f t="shared" si="14"/>
        <v>26659.31</v>
      </c>
      <c r="S13" s="1">
        <f t="shared" si="15"/>
        <v>-26659.31</v>
      </c>
      <c r="T13" s="1">
        <f t="shared" si="16"/>
        <v>0</v>
      </c>
      <c r="U13" s="1">
        <f t="shared" si="16"/>
        <v>0</v>
      </c>
      <c r="V13" s="1">
        <f t="shared" si="17"/>
        <v>0</v>
      </c>
      <c r="W13" s="1">
        <f t="shared" si="18"/>
        <v>0</v>
      </c>
      <c r="X13" s="1">
        <v>2070.9899999999998</v>
      </c>
      <c r="Y13" s="41">
        <f t="shared" si="3"/>
        <v>2070.9899999999998</v>
      </c>
      <c r="Z13" s="1">
        <f t="shared" si="4"/>
        <v>2070.9899999999998</v>
      </c>
      <c r="AA13" s="1">
        <v>0</v>
      </c>
      <c r="AB13" s="1">
        <f t="shared" si="22"/>
        <v>-2070.9899999999998</v>
      </c>
      <c r="AC13" s="1">
        <f t="shared" si="6"/>
        <v>0</v>
      </c>
      <c r="AD13" s="41">
        <v>0</v>
      </c>
      <c r="AE13" s="1">
        <f t="shared" si="0"/>
        <v>0</v>
      </c>
      <c r="AF13" s="1">
        <f t="shared" si="19"/>
        <v>0</v>
      </c>
    </row>
    <row r="14" spans="1:32" outlineLevel="2">
      <c r="A14" s="11">
        <v>13000</v>
      </c>
      <c r="B14" s="11">
        <v>13002</v>
      </c>
      <c r="C14" s="11" t="s">
        <v>264</v>
      </c>
      <c r="D14" s="7">
        <v>0</v>
      </c>
      <c r="E14" s="7">
        <v>36032.54</v>
      </c>
      <c r="F14" s="7">
        <f>D14-E14</f>
        <v>-36032.54</v>
      </c>
      <c r="G14" s="7">
        <v>36032.54</v>
      </c>
      <c r="H14" s="7">
        <f>D14+G14</f>
        <v>36032.54</v>
      </c>
      <c r="I14" s="1">
        <v>45020.29</v>
      </c>
      <c r="J14" s="1">
        <f t="shared" si="20"/>
        <v>-8987.75</v>
      </c>
      <c r="K14" s="1">
        <v>8987.75</v>
      </c>
      <c r="L14" s="1">
        <f t="shared" si="12"/>
        <v>45020.29</v>
      </c>
      <c r="M14" s="7">
        <f>10617.04-L14</f>
        <v>-34403.25</v>
      </c>
      <c r="N14" s="1">
        <f t="shared" si="13"/>
        <v>10617.04</v>
      </c>
      <c r="O14" s="1">
        <v>29854.86</v>
      </c>
      <c r="P14" s="1">
        <f t="shared" si="21"/>
        <v>19237.82</v>
      </c>
      <c r="Q14" s="1">
        <f t="shared" si="14"/>
        <v>29854.86</v>
      </c>
      <c r="S14" s="1">
        <f t="shared" si="15"/>
        <v>-29854.86</v>
      </c>
      <c r="T14" s="1">
        <f t="shared" si="16"/>
        <v>0</v>
      </c>
      <c r="U14" s="1">
        <f t="shared" si="16"/>
        <v>0</v>
      </c>
      <c r="V14" s="1">
        <f t="shared" si="17"/>
        <v>0</v>
      </c>
      <c r="W14" s="1">
        <f t="shared" si="18"/>
        <v>0</v>
      </c>
      <c r="X14" s="1">
        <v>0</v>
      </c>
      <c r="Y14" s="41">
        <f t="shared" si="3"/>
        <v>0</v>
      </c>
      <c r="Z14" s="1">
        <f t="shared" si="4"/>
        <v>0</v>
      </c>
      <c r="AA14" s="1">
        <v>0</v>
      </c>
      <c r="AB14" s="1">
        <f t="shared" si="22"/>
        <v>0</v>
      </c>
      <c r="AC14" s="1">
        <f t="shared" si="6"/>
        <v>0</v>
      </c>
      <c r="AD14" s="41">
        <v>0</v>
      </c>
      <c r="AE14" s="1">
        <f t="shared" si="0"/>
        <v>0</v>
      </c>
      <c r="AF14" s="1">
        <f t="shared" si="19"/>
        <v>0</v>
      </c>
    </row>
    <row r="15" spans="1:32" outlineLevel="2">
      <c r="A15" s="11">
        <v>13000</v>
      </c>
      <c r="B15" s="11">
        <v>13100</v>
      </c>
      <c r="C15" s="11" t="s">
        <v>265</v>
      </c>
      <c r="D15" s="7">
        <v>9905.4500000000007</v>
      </c>
      <c r="E15" s="7">
        <v>9935.16</v>
      </c>
      <c r="F15" s="7">
        <f t="shared" si="10"/>
        <v>-29.709999999999127</v>
      </c>
      <c r="G15" s="7">
        <v>29.71</v>
      </c>
      <c r="H15" s="7">
        <f t="shared" si="11"/>
        <v>9935.16</v>
      </c>
      <c r="I15" s="1">
        <v>0</v>
      </c>
      <c r="J15" s="1">
        <f t="shared" si="20"/>
        <v>9935.16</v>
      </c>
      <c r="K15" s="1">
        <v>-9935.16</v>
      </c>
      <c r="L15" s="1">
        <f t="shared" si="12"/>
        <v>0</v>
      </c>
      <c r="M15" s="7">
        <v>17914.259999999998</v>
      </c>
      <c r="N15" s="1">
        <f t="shared" si="13"/>
        <v>17914.259999999998</v>
      </c>
      <c r="O15" s="1">
        <v>10969.62</v>
      </c>
      <c r="P15" s="1">
        <f t="shared" si="21"/>
        <v>-6944.6399999999976</v>
      </c>
      <c r="Q15" s="1">
        <f t="shared" si="14"/>
        <v>10969.62</v>
      </c>
      <c r="R15" s="1">
        <v>10969.62</v>
      </c>
      <c r="S15" s="1">
        <f t="shared" si="15"/>
        <v>0</v>
      </c>
      <c r="T15" s="1">
        <f t="shared" si="16"/>
        <v>10969.62</v>
      </c>
      <c r="U15" s="1">
        <v>0</v>
      </c>
      <c r="V15" s="1">
        <f t="shared" si="17"/>
        <v>-10969.62</v>
      </c>
      <c r="W15" s="1">
        <f t="shared" si="18"/>
        <v>0</v>
      </c>
      <c r="X15" s="1">
        <v>10871.25</v>
      </c>
      <c r="Y15" s="41">
        <f t="shared" si="3"/>
        <v>10871.25</v>
      </c>
      <c r="Z15" s="1">
        <f t="shared" si="4"/>
        <v>10871.25</v>
      </c>
      <c r="AA15" s="1">
        <v>0</v>
      </c>
      <c r="AB15" s="1">
        <f t="shared" si="22"/>
        <v>-10871.25</v>
      </c>
      <c r="AC15" s="1">
        <f t="shared" si="6"/>
        <v>0</v>
      </c>
      <c r="AD15" s="41">
        <v>0</v>
      </c>
      <c r="AE15" s="1">
        <f t="shared" si="0"/>
        <v>0</v>
      </c>
      <c r="AF15" s="1">
        <f t="shared" si="19"/>
        <v>0</v>
      </c>
    </row>
    <row r="16" spans="1:32" outlineLevel="2">
      <c r="A16" s="11">
        <v>13000</v>
      </c>
      <c r="B16" s="11">
        <v>13101</v>
      </c>
      <c r="C16" s="11" t="s">
        <v>266</v>
      </c>
      <c r="D16" s="7">
        <v>9121.9699999999993</v>
      </c>
      <c r="E16" s="7">
        <v>9149.33</v>
      </c>
      <c r="F16" s="7">
        <f t="shared" si="10"/>
        <v>-27.360000000000582</v>
      </c>
      <c r="G16" s="7">
        <v>27.36</v>
      </c>
      <c r="H16" s="7">
        <f t="shared" si="11"/>
        <v>9149.33</v>
      </c>
      <c r="I16" s="1">
        <v>0</v>
      </c>
      <c r="J16" s="1">
        <f t="shared" si="20"/>
        <v>9149.33</v>
      </c>
      <c r="K16" s="1">
        <v>-9149.33</v>
      </c>
      <c r="L16" s="1">
        <f t="shared" si="12"/>
        <v>0</v>
      </c>
      <c r="M16" s="7">
        <v>22092.44</v>
      </c>
      <c r="N16" s="1">
        <f t="shared" si="13"/>
        <v>22092.44</v>
      </c>
      <c r="O16" s="1">
        <v>12995.66</v>
      </c>
      <c r="P16" s="1">
        <f t="shared" si="21"/>
        <v>-9096.7799999999988</v>
      </c>
      <c r="Q16" s="1">
        <f t="shared" si="14"/>
        <v>12995.66</v>
      </c>
      <c r="R16" s="1">
        <v>12995.66</v>
      </c>
      <c r="S16" s="1">
        <f t="shared" si="15"/>
        <v>0</v>
      </c>
      <c r="T16" s="1">
        <f t="shared" si="16"/>
        <v>12995.66</v>
      </c>
      <c r="U16" s="1">
        <v>0</v>
      </c>
      <c r="V16" s="1">
        <f t="shared" si="17"/>
        <v>-12995.66</v>
      </c>
      <c r="W16" s="1">
        <f t="shared" si="18"/>
        <v>0</v>
      </c>
      <c r="X16" s="1">
        <v>12807.12</v>
      </c>
      <c r="Y16" s="41">
        <f t="shared" si="3"/>
        <v>12807.12</v>
      </c>
      <c r="Z16" s="1">
        <f t="shared" si="4"/>
        <v>12807.12</v>
      </c>
      <c r="AA16" s="1">
        <v>0</v>
      </c>
      <c r="AB16" s="1">
        <f t="shared" si="22"/>
        <v>-12807.12</v>
      </c>
      <c r="AC16" s="1">
        <f t="shared" si="6"/>
        <v>0</v>
      </c>
      <c r="AD16" s="41">
        <v>0</v>
      </c>
      <c r="AE16" s="1">
        <f t="shared" si="0"/>
        <v>0</v>
      </c>
      <c r="AF16" s="1">
        <f t="shared" si="19"/>
        <v>0</v>
      </c>
    </row>
    <row r="17" spans="1:32" outlineLevel="2">
      <c r="A17" s="11">
        <v>13000</v>
      </c>
      <c r="B17" s="11">
        <v>15000</v>
      </c>
      <c r="C17" s="11" t="s">
        <v>941</v>
      </c>
      <c r="D17" s="7"/>
      <c r="E17" s="7"/>
      <c r="F17" s="7"/>
      <c r="G17" s="7"/>
      <c r="H17" s="7"/>
      <c r="I17" s="1"/>
      <c r="J17" s="1"/>
      <c r="K17" s="1"/>
      <c r="L17" s="1"/>
      <c r="N17" s="1"/>
      <c r="O17" s="1"/>
      <c r="T17" s="1"/>
      <c r="V17" s="1"/>
      <c r="W17" s="1"/>
      <c r="Y17" s="41"/>
      <c r="Z17" s="1"/>
      <c r="AB17" s="1"/>
      <c r="AC17" s="1">
        <v>0</v>
      </c>
      <c r="AD17" s="41">
        <v>5000</v>
      </c>
      <c r="AE17" s="1">
        <f t="shared" ref="AE17" si="23">AD17-AC17</f>
        <v>5000</v>
      </c>
      <c r="AF17" s="1">
        <f t="shared" ref="AF17" si="24">AC17+AE17</f>
        <v>5000</v>
      </c>
    </row>
    <row r="18" spans="1:32" outlineLevel="2">
      <c r="A18" s="11">
        <v>13000</v>
      </c>
      <c r="B18" s="19">
        <v>15100</v>
      </c>
      <c r="C18" s="19" t="s">
        <v>267</v>
      </c>
      <c r="D18" s="20">
        <v>12000</v>
      </c>
      <c r="E18" s="20">
        <v>8000</v>
      </c>
      <c r="F18" s="20">
        <f t="shared" si="10"/>
        <v>4000</v>
      </c>
      <c r="G18" s="20">
        <v>-4000</v>
      </c>
      <c r="H18" s="20">
        <f t="shared" si="11"/>
        <v>8000</v>
      </c>
      <c r="I18" s="21">
        <v>8000</v>
      </c>
      <c r="J18" s="21">
        <f t="shared" si="20"/>
        <v>0</v>
      </c>
      <c r="K18" s="21">
        <v>0</v>
      </c>
      <c r="L18" s="21">
        <f t="shared" si="12"/>
        <v>8000</v>
      </c>
      <c r="N18" s="1">
        <f t="shared" si="13"/>
        <v>8000</v>
      </c>
      <c r="O18" s="1">
        <v>8000</v>
      </c>
      <c r="P18" s="1">
        <f t="shared" si="21"/>
        <v>0</v>
      </c>
      <c r="Q18" s="1">
        <f t="shared" si="14"/>
        <v>8000</v>
      </c>
      <c r="R18" s="1">
        <v>8000</v>
      </c>
      <c r="S18" s="1">
        <f t="shared" si="15"/>
        <v>0</v>
      </c>
      <c r="T18" s="1">
        <f t="shared" si="16"/>
        <v>8000</v>
      </c>
      <c r="U18" s="1">
        <v>8000</v>
      </c>
      <c r="V18" s="1">
        <f t="shared" si="17"/>
        <v>0</v>
      </c>
      <c r="W18" s="1">
        <f t="shared" si="18"/>
        <v>8000</v>
      </c>
      <c r="X18" s="1">
        <v>8000</v>
      </c>
      <c r="Y18" s="41">
        <f t="shared" si="3"/>
        <v>0</v>
      </c>
      <c r="Z18" s="1">
        <f t="shared" si="4"/>
        <v>8000</v>
      </c>
      <c r="AA18" s="1">
        <v>10000</v>
      </c>
      <c r="AB18" s="1">
        <f t="shared" si="22"/>
        <v>2000</v>
      </c>
      <c r="AC18" s="1">
        <f t="shared" si="6"/>
        <v>10000</v>
      </c>
      <c r="AD18" s="41">
        <v>0</v>
      </c>
      <c r="AE18" s="1">
        <f t="shared" si="0"/>
        <v>-10000</v>
      </c>
      <c r="AF18" s="1">
        <f t="shared" si="19"/>
        <v>0</v>
      </c>
    </row>
    <row r="19" spans="1:32" outlineLevel="2">
      <c r="A19" s="42">
        <v>13000</v>
      </c>
      <c r="B19" s="56">
        <v>16000</v>
      </c>
      <c r="C19" s="56" t="s">
        <v>738</v>
      </c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8"/>
      <c r="P19" s="58"/>
      <c r="Q19" s="58"/>
      <c r="R19" s="58"/>
      <c r="S19" s="58"/>
      <c r="T19" s="58">
        <v>0</v>
      </c>
      <c r="U19" s="58">
        <v>0</v>
      </c>
      <c r="V19" s="58">
        <f t="shared" ref="V19" si="25">U19-T19</f>
        <v>0</v>
      </c>
      <c r="W19" s="58">
        <f t="shared" ref="W19" si="26">T19+V19</f>
        <v>0</v>
      </c>
      <c r="X19" s="1">
        <v>0</v>
      </c>
      <c r="Y19" s="41">
        <f t="shared" si="3"/>
        <v>0</v>
      </c>
      <c r="Z19" s="1">
        <f t="shared" si="4"/>
        <v>0</v>
      </c>
      <c r="AA19" s="1">
        <v>0</v>
      </c>
      <c r="AB19" s="1">
        <f t="shared" si="22"/>
        <v>0</v>
      </c>
      <c r="AC19" s="1">
        <f t="shared" si="6"/>
        <v>0</v>
      </c>
      <c r="AD19" s="41">
        <v>152564.49</v>
      </c>
      <c r="AE19" s="1">
        <f t="shared" si="0"/>
        <v>152564.49</v>
      </c>
      <c r="AF19" s="1">
        <f t="shared" si="19"/>
        <v>152564.49</v>
      </c>
    </row>
    <row r="20" spans="1:32" outlineLevel="2">
      <c r="A20" s="11">
        <v>13000</v>
      </c>
      <c r="B20" s="11">
        <v>20300</v>
      </c>
      <c r="C20" s="11" t="s">
        <v>268</v>
      </c>
      <c r="D20" s="7">
        <v>706.79</v>
      </c>
      <c r="E20" s="7"/>
      <c r="F20" s="7">
        <f t="shared" si="10"/>
        <v>706.79</v>
      </c>
      <c r="G20" s="7"/>
      <c r="H20" s="7">
        <f t="shared" si="11"/>
        <v>706.79</v>
      </c>
      <c r="I20" s="1"/>
      <c r="J20" s="1">
        <f t="shared" si="20"/>
        <v>706.79</v>
      </c>
      <c r="K20" s="1"/>
      <c r="L20" s="1">
        <f t="shared" si="12"/>
        <v>706.79</v>
      </c>
      <c r="N20" s="1">
        <f t="shared" si="13"/>
        <v>706.79</v>
      </c>
      <c r="O20" s="1"/>
      <c r="Q20" s="1">
        <f t="shared" si="14"/>
        <v>706.79</v>
      </c>
      <c r="T20" s="1">
        <f t="shared" si="16"/>
        <v>706.79</v>
      </c>
      <c r="U20" s="1">
        <v>1000</v>
      </c>
      <c r="V20" s="1">
        <f t="shared" si="17"/>
        <v>293.21000000000004</v>
      </c>
      <c r="W20" s="1">
        <f t="shared" si="18"/>
        <v>1000</v>
      </c>
      <c r="X20" s="1">
        <v>1000</v>
      </c>
      <c r="Y20" s="41">
        <f t="shared" si="3"/>
        <v>0</v>
      </c>
      <c r="Z20" s="1">
        <f t="shared" si="4"/>
        <v>1000</v>
      </c>
      <c r="AA20" s="1">
        <v>1200</v>
      </c>
      <c r="AB20" s="1">
        <f t="shared" si="22"/>
        <v>200</v>
      </c>
      <c r="AC20" s="1">
        <f t="shared" si="6"/>
        <v>1200</v>
      </c>
      <c r="AD20" s="41">
        <v>3000</v>
      </c>
      <c r="AE20" s="1">
        <f t="shared" si="0"/>
        <v>1800</v>
      </c>
      <c r="AF20" s="1">
        <f t="shared" si="19"/>
        <v>3000</v>
      </c>
    </row>
    <row r="21" spans="1:32" outlineLevel="2">
      <c r="A21" s="11">
        <v>13000</v>
      </c>
      <c r="B21" s="11">
        <v>21300</v>
      </c>
      <c r="C21" s="11" t="s">
        <v>270</v>
      </c>
      <c r="D21" s="7">
        <v>5000</v>
      </c>
      <c r="E21" s="7"/>
      <c r="F21" s="7">
        <f t="shared" si="10"/>
        <v>5000</v>
      </c>
      <c r="G21" s="7"/>
      <c r="H21" s="7">
        <f t="shared" si="11"/>
        <v>5000</v>
      </c>
      <c r="I21" s="1"/>
      <c r="J21" s="1">
        <f t="shared" si="20"/>
        <v>5000</v>
      </c>
      <c r="K21" s="1"/>
      <c r="L21" s="1">
        <f t="shared" si="12"/>
        <v>5000</v>
      </c>
      <c r="N21" s="1">
        <f t="shared" si="13"/>
        <v>5000</v>
      </c>
      <c r="O21" s="1"/>
      <c r="Q21" s="1">
        <f t="shared" si="14"/>
        <v>5000</v>
      </c>
      <c r="T21" s="1">
        <f t="shared" si="16"/>
        <v>5000</v>
      </c>
      <c r="U21" s="1">
        <f t="shared" si="16"/>
        <v>5000</v>
      </c>
      <c r="V21" s="1">
        <f t="shared" si="17"/>
        <v>0</v>
      </c>
      <c r="W21" s="1">
        <f t="shared" si="18"/>
        <v>5000</v>
      </c>
      <c r="X21" s="1">
        <v>8000</v>
      </c>
      <c r="Y21" s="41">
        <f t="shared" si="3"/>
        <v>3000</v>
      </c>
      <c r="Z21" s="1">
        <f t="shared" si="4"/>
        <v>8000</v>
      </c>
      <c r="AA21" s="1">
        <v>8300</v>
      </c>
      <c r="AB21" s="1">
        <f t="shared" si="22"/>
        <v>300</v>
      </c>
      <c r="AC21" s="1">
        <f t="shared" si="6"/>
        <v>8300</v>
      </c>
      <c r="AD21" s="41">
        <v>5000</v>
      </c>
      <c r="AE21" s="1">
        <f t="shared" si="0"/>
        <v>-3300</v>
      </c>
      <c r="AF21" s="1">
        <f t="shared" si="19"/>
        <v>5000</v>
      </c>
    </row>
    <row r="22" spans="1:32" outlineLevel="2">
      <c r="A22" s="11">
        <v>13000</v>
      </c>
      <c r="B22" s="11">
        <v>22000</v>
      </c>
      <c r="C22" s="11" t="s">
        <v>271</v>
      </c>
      <c r="D22" s="7">
        <v>3769.55</v>
      </c>
      <c r="E22" s="7"/>
      <c r="F22" s="7">
        <f t="shared" si="10"/>
        <v>3769.55</v>
      </c>
      <c r="G22" s="7">
        <v>-1769.55</v>
      </c>
      <c r="H22" s="7">
        <f t="shared" si="11"/>
        <v>2000.0000000000002</v>
      </c>
      <c r="I22" s="1"/>
      <c r="J22" s="1">
        <f t="shared" si="20"/>
        <v>2000.0000000000002</v>
      </c>
      <c r="K22" s="1"/>
      <c r="L22" s="1">
        <f t="shared" si="12"/>
        <v>2000.0000000000002</v>
      </c>
      <c r="N22" s="1">
        <f t="shared" si="13"/>
        <v>2000.0000000000002</v>
      </c>
      <c r="O22" s="1"/>
      <c r="Q22" s="1">
        <f t="shared" si="14"/>
        <v>2000.0000000000002</v>
      </c>
      <c r="T22" s="1">
        <f t="shared" si="16"/>
        <v>2000.0000000000002</v>
      </c>
      <c r="U22" s="1">
        <f t="shared" si="16"/>
        <v>2000.0000000000002</v>
      </c>
      <c r="V22" s="1">
        <f t="shared" si="17"/>
        <v>0</v>
      </c>
      <c r="W22" s="1">
        <f t="shared" si="18"/>
        <v>2000.0000000000002</v>
      </c>
      <c r="X22" s="1">
        <v>2000</v>
      </c>
      <c r="Y22" s="41">
        <f t="shared" si="3"/>
        <v>0</v>
      </c>
      <c r="Z22" s="1">
        <f t="shared" si="4"/>
        <v>2000.0000000000002</v>
      </c>
      <c r="AA22" s="1">
        <v>1000</v>
      </c>
      <c r="AB22" s="1">
        <f t="shared" si="22"/>
        <v>-1000.0000000000002</v>
      </c>
      <c r="AC22" s="1">
        <f t="shared" si="6"/>
        <v>1000</v>
      </c>
      <c r="AD22" s="41">
        <v>500</v>
      </c>
      <c r="AE22" s="1">
        <f t="shared" si="0"/>
        <v>-500</v>
      </c>
      <c r="AF22" s="1">
        <f t="shared" si="19"/>
        <v>500</v>
      </c>
    </row>
    <row r="23" spans="1:32" outlineLevel="2">
      <c r="A23" s="11">
        <v>13000</v>
      </c>
      <c r="B23" s="11">
        <v>22101</v>
      </c>
      <c r="C23" s="11" t="s">
        <v>248</v>
      </c>
      <c r="D23" s="7"/>
      <c r="E23" s="7"/>
      <c r="F23" s="7"/>
      <c r="G23" s="7"/>
      <c r="H23" s="7"/>
      <c r="I23" s="1"/>
      <c r="J23" s="1"/>
      <c r="K23" s="1"/>
      <c r="L23" s="1"/>
      <c r="N23" s="1"/>
      <c r="O23" s="1"/>
      <c r="T23" s="1"/>
      <c r="V23" s="1"/>
      <c r="W23" s="1"/>
      <c r="Y23" s="41"/>
      <c r="Z23" s="1"/>
      <c r="AB23" s="1"/>
      <c r="AC23" s="1">
        <v>0</v>
      </c>
      <c r="AD23" s="41">
        <v>525</v>
      </c>
      <c r="AE23" s="1">
        <f t="shared" ref="AE23" si="27">AD23-AC23</f>
        <v>525</v>
      </c>
      <c r="AF23" s="1">
        <f t="shared" ref="AF23" si="28">AC23+AE23</f>
        <v>525</v>
      </c>
    </row>
    <row r="24" spans="1:32" outlineLevel="2">
      <c r="A24" s="11">
        <v>13000</v>
      </c>
      <c r="B24" s="11">
        <v>22001</v>
      </c>
      <c r="C24" s="11" t="s">
        <v>272</v>
      </c>
      <c r="D24" s="7">
        <v>2591.5700000000002</v>
      </c>
      <c r="E24" s="7"/>
      <c r="F24" s="7">
        <f t="shared" si="10"/>
        <v>2591.5700000000002</v>
      </c>
      <c r="G24" s="7"/>
      <c r="H24" s="7">
        <f t="shared" si="11"/>
        <v>2591.5700000000002</v>
      </c>
      <c r="I24" s="1"/>
      <c r="J24" s="1">
        <f t="shared" si="20"/>
        <v>2591.5700000000002</v>
      </c>
      <c r="K24" s="1"/>
      <c r="L24" s="1">
        <f t="shared" si="12"/>
        <v>2591.5700000000002</v>
      </c>
      <c r="N24" s="1">
        <f t="shared" si="13"/>
        <v>2591.5700000000002</v>
      </c>
      <c r="O24" s="1"/>
      <c r="Q24" s="1">
        <f t="shared" si="14"/>
        <v>2591.5700000000002</v>
      </c>
      <c r="T24" s="1">
        <f t="shared" si="16"/>
        <v>2591.5700000000002</v>
      </c>
      <c r="U24" s="1">
        <v>2600</v>
      </c>
      <c r="V24" s="1">
        <f t="shared" si="17"/>
        <v>8.4299999999998363</v>
      </c>
      <c r="W24" s="1">
        <f t="shared" si="18"/>
        <v>2600</v>
      </c>
      <c r="X24" s="1">
        <v>2600</v>
      </c>
      <c r="Y24" s="41">
        <f t="shared" si="3"/>
        <v>0</v>
      </c>
      <c r="Z24" s="1">
        <f t="shared" si="4"/>
        <v>2600</v>
      </c>
      <c r="AA24" s="1">
        <v>1500</v>
      </c>
      <c r="AB24" s="1">
        <f t="shared" si="22"/>
        <v>-1100</v>
      </c>
      <c r="AC24" s="1">
        <f t="shared" si="6"/>
        <v>1500</v>
      </c>
      <c r="AD24" s="41">
        <v>1000</v>
      </c>
      <c r="AE24" s="1">
        <f t="shared" si="0"/>
        <v>-500</v>
      </c>
      <c r="AF24" s="1">
        <f t="shared" si="19"/>
        <v>1000</v>
      </c>
    </row>
    <row r="25" spans="1:32" outlineLevel="2">
      <c r="A25" s="11">
        <v>13000</v>
      </c>
      <c r="B25" s="11">
        <v>22103</v>
      </c>
      <c r="C25" s="11" t="s">
        <v>273</v>
      </c>
      <c r="D25" s="7">
        <v>471.19</v>
      </c>
      <c r="E25" s="7"/>
      <c r="F25" s="7">
        <f t="shared" si="10"/>
        <v>471.19</v>
      </c>
      <c r="G25" s="7">
        <v>-71.19</v>
      </c>
      <c r="H25" s="7">
        <f t="shared" si="11"/>
        <v>400</v>
      </c>
      <c r="I25" s="1"/>
      <c r="J25" s="1">
        <f t="shared" si="20"/>
        <v>400</v>
      </c>
      <c r="K25" s="1"/>
      <c r="L25" s="1">
        <f t="shared" si="12"/>
        <v>400</v>
      </c>
      <c r="N25" s="1">
        <f t="shared" si="13"/>
        <v>400</v>
      </c>
      <c r="O25" s="1"/>
      <c r="Q25" s="1">
        <f t="shared" si="14"/>
        <v>400</v>
      </c>
      <c r="R25" s="1">
        <v>64532.6</v>
      </c>
      <c r="T25" s="1">
        <f t="shared" si="16"/>
        <v>400</v>
      </c>
      <c r="U25" s="1">
        <v>400</v>
      </c>
      <c r="V25" s="1">
        <f t="shared" si="17"/>
        <v>0</v>
      </c>
      <c r="W25" s="1">
        <f t="shared" si="18"/>
        <v>400</v>
      </c>
      <c r="X25" s="1">
        <v>2000</v>
      </c>
      <c r="Y25" s="41">
        <f t="shared" si="3"/>
        <v>1600</v>
      </c>
      <c r="Z25" s="1">
        <f t="shared" si="4"/>
        <v>2000</v>
      </c>
      <c r="AA25" s="1">
        <v>0</v>
      </c>
      <c r="AB25" s="1">
        <f t="shared" si="22"/>
        <v>-2000</v>
      </c>
      <c r="AC25" s="1">
        <f t="shared" si="6"/>
        <v>0</v>
      </c>
      <c r="AD25" s="41">
        <v>0</v>
      </c>
      <c r="AE25" s="1">
        <f t="shared" si="0"/>
        <v>0</v>
      </c>
      <c r="AF25" s="1">
        <f t="shared" si="19"/>
        <v>0</v>
      </c>
    </row>
    <row r="26" spans="1:32" outlineLevel="2">
      <c r="A26" s="11">
        <v>13000</v>
      </c>
      <c r="B26" s="11">
        <v>22199</v>
      </c>
      <c r="C26" s="11" t="s">
        <v>274</v>
      </c>
      <c r="D26" s="7">
        <v>12040.49</v>
      </c>
      <c r="E26" s="7"/>
      <c r="F26" s="7">
        <f t="shared" si="10"/>
        <v>12040.49</v>
      </c>
      <c r="G26" s="7">
        <v>-2040.49</v>
      </c>
      <c r="H26" s="7">
        <f t="shared" si="11"/>
        <v>10000</v>
      </c>
      <c r="I26" s="1"/>
      <c r="J26" s="1">
        <f t="shared" si="20"/>
        <v>10000</v>
      </c>
      <c r="K26" s="1"/>
      <c r="L26" s="1">
        <f t="shared" si="12"/>
        <v>10000</v>
      </c>
      <c r="N26" s="1">
        <f t="shared" si="13"/>
        <v>10000</v>
      </c>
      <c r="O26" s="1"/>
      <c r="Q26" s="1">
        <f t="shared" si="14"/>
        <v>10000</v>
      </c>
      <c r="T26" s="1">
        <f t="shared" si="16"/>
        <v>10000</v>
      </c>
      <c r="U26" s="1">
        <f t="shared" si="16"/>
        <v>10000</v>
      </c>
      <c r="V26" s="1">
        <f t="shared" si="17"/>
        <v>0</v>
      </c>
      <c r="W26" s="1">
        <f t="shared" si="18"/>
        <v>10000</v>
      </c>
      <c r="X26" s="1">
        <v>10000</v>
      </c>
      <c r="Y26" s="41">
        <f t="shared" si="3"/>
        <v>0</v>
      </c>
      <c r="Z26" s="1">
        <f t="shared" si="4"/>
        <v>10000</v>
      </c>
      <c r="AA26" s="1">
        <v>10000</v>
      </c>
      <c r="AB26" s="1">
        <f t="shared" si="22"/>
        <v>0</v>
      </c>
      <c r="AC26" s="1">
        <f t="shared" si="6"/>
        <v>10000</v>
      </c>
      <c r="AD26" s="41">
        <v>6000</v>
      </c>
      <c r="AE26" s="1">
        <f t="shared" si="0"/>
        <v>-4000</v>
      </c>
      <c r="AF26" s="1">
        <f t="shared" si="19"/>
        <v>6000</v>
      </c>
    </row>
    <row r="27" spans="1:32" outlineLevel="2">
      <c r="A27" s="11">
        <v>13000</v>
      </c>
      <c r="B27" s="11">
        <v>22300</v>
      </c>
      <c r="C27" s="11" t="s">
        <v>652</v>
      </c>
      <c r="D27" s="7">
        <v>48000</v>
      </c>
      <c r="E27" s="7"/>
      <c r="F27" s="7">
        <f t="shared" si="10"/>
        <v>48000</v>
      </c>
      <c r="G27" s="7"/>
      <c r="H27" s="7">
        <f t="shared" si="11"/>
        <v>48000</v>
      </c>
      <c r="I27" s="1"/>
      <c r="J27" s="1">
        <f t="shared" si="20"/>
        <v>48000</v>
      </c>
      <c r="K27" s="1"/>
      <c r="L27" s="1">
        <f t="shared" si="12"/>
        <v>48000</v>
      </c>
      <c r="M27" s="7">
        <v>-48000</v>
      </c>
      <c r="N27" s="1">
        <f t="shared" si="13"/>
        <v>0</v>
      </c>
      <c r="O27" s="1"/>
      <c r="Q27" s="1">
        <f t="shared" si="14"/>
        <v>0</v>
      </c>
      <c r="R27" s="1">
        <v>0</v>
      </c>
      <c r="T27" s="1">
        <f t="shared" si="16"/>
        <v>0</v>
      </c>
      <c r="U27" s="1">
        <f t="shared" si="16"/>
        <v>0</v>
      </c>
      <c r="V27" s="1">
        <f t="shared" si="17"/>
        <v>0</v>
      </c>
      <c r="W27" s="1">
        <f t="shared" si="18"/>
        <v>0</v>
      </c>
      <c r="X27" s="1">
        <v>0</v>
      </c>
      <c r="Y27" s="41">
        <f t="shared" si="3"/>
        <v>0</v>
      </c>
      <c r="Z27" s="1">
        <f t="shared" si="4"/>
        <v>0</v>
      </c>
      <c r="AA27" s="1">
        <f t="shared" si="4"/>
        <v>0</v>
      </c>
      <c r="AB27" s="1">
        <f t="shared" si="22"/>
        <v>0</v>
      </c>
      <c r="AC27" s="1">
        <f t="shared" si="6"/>
        <v>0</v>
      </c>
      <c r="AD27" s="41">
        <v>0</v>
      </c>
      <c r="AE27" s="1">
        <f t="shared" si="0"/>
        <v>0</v>
      </c>
      <c r="AF27" s="1">
        <f t="shared" si="19"/>
        <v>0</v>
      </c>
    </row>
    <row r="28" spans="1:32" outlineLevel="2">
      <c r="A28" s="11">
        <v>13000</v>
      </c>
      <c r="B28" s="11">
        <v>22699</v>
      </c>
      <c r="C28" s="11" t="s">
        <v>275</v>
      </c>
      <c r="D28" s="7">
        <v>55500</v>
      </c>
      <c r="E28" s="7">
        <v>55500</v>
      </c>
      <c r="F28" s="7">
        <f t="shared" si="10"/>
        <v>0</v>
      </c>
      <c r="G28" s="7"/>
      <c r="H28" s="7">
        <f t="shared" si="11"/>
        <v>55500</v>
      </c>
      <c r="I28" s="1"/>
      <c r="J28" s="1">
        <f t="shared" si="20"/>
        <v>55500</v>
      </c>
      <c r="K28" s="1"/>
      <c r="L28" s="1">
        <f t="shared" si="12"/>
        <v>55500</v>
      </c>
      <c r="N28" s="1">
        <f t="shared" si="13"/>
        <v>55500</v>
      </c>
      <c r="O28" s="1"/>
      <c r="Q28" s="1">
        <f t="shared" si="14"/>
        <v>55500</v>
      </c>
      <c r="T28" s="1">
        <f t="shared" si="16"/>
        <v>55500</v>
      </c>
      <c r="U28" s="1">
        <f t="shared" si="16"/>
        <v>55500</v>
      </c>
      <c r="V28" s="1">
        <f t="shared" si="17"/>
        <v>0</v>
      </c>
      <c r="W28" s="1">
        <f t="shared" si="18"/>
        <v>55500</v>
      </c>
      <c r="X28" s="1">
        <v>55500</v>
      </c>
      <c r="Y28" s="41">
        <f t="shared" si="3"/>
        <v>0</v>
      </c>
      <c r="Z28" s="1">
        <f t="shared" si="4"/>
        <v>55500</v>
      </c>
      <c r="AA28" s="1">
        <v>55500</v>
      </c>
      <c r="AB28" s="1">
        <f t="shared" si="22"/>
        <v>0</v>
      </c>
      <c r="AC28" s="1">
        <f t="shared" si="6"/>
        <v>55500</v>
      </c>
      <c r="AD28" s="41">
        <f>88500-6050</f>
        <v>82450</v>
      </c>
      <c r="AE28" s="1">
        <f t="shared" si="0"/>
        <v>26950</v>
      </c>
      <c r="AF28" s="1">
        <f t="shared" si="19"/>
        <v>82450</v>
      </c>
    </row>
    <row r="29" spans="1:32" outlineLevel="2">
      <c r="A29" s="11">
        <v>13000</v>
      </c>
      <c r="B29" s="11">
        <v>22706</v>
      </c>
      <c r="C29" s="11" t="s">
        <v>493</v>
      </c>
      <c r="D29" s="7"/>
      <c r="E29" s="7"/>
      <c r="F29" s="7"/>
      <c r="G29" s="7"/>
      <c r="H29" s="7"/>
      <c r="I29" s="1"/>
      <c r="J29" s="1"/>
      <c r="K29" s="1"/>
      <c r="L29" s="1"/>
      <c r="N29" s="1"/>
      <c r="O29" s="1"/>
      <c r="T29" s="1"/>
      <c r="V29" s="1"/>
      <c r="W29" s="1"/>
      <c r="Y29" s="41"/>
      <c r="Z29" s="1"/>
      <c r="AB29" s="1"/>
      <c r="AC29" s="1">
        <v>0</v>
      </c>
      <c r="AD29" s="41">
        <f>41240*1.21</f>
        <v>49900.4</v>
      </c>
      <c r="AE29" s="1">
        <f t="shared" ref="AE29" si="29">AD29-AC29</f>
        <v>49900.4</v>
      </c>
      <c r="AF29" s="1">
        <f t="shared" ref="AF29" si="30">AC29+AE29</f>
        <v>49900.4</v>
      </c>
    </row>
    <row r="30" spans="1:32" outlineLevel="2">
      <c r="A30" s="11">
        <v>13000</v>
      </c>
      <c r="B30" s="11">
        <v>23020</v>
      </c>
      <c r="C30" s="11" t="s">
        <v>276</v>
      </c>
      <c r="D30" s="7">
        <v>0</v>
      </c>
      <c r="E30" s="7"/>
      <c r="F30" s="7">
        <f>D30-E30</f>
        <v>0</v>
      </c>
      <c r="G30" s="7">
        <v>3005.06</v>
      </c>
      <c r="H30" s="7">
        <f>D30+G30</f>
        <v>3005.06</v>
      </c>
      <c r="I30" s="1"/>
      <c r="J30" s="1">
        <f t="shared" si="20"/>
        <v>3005.06</v>
      </c>
      <c r="K30" s="1"/>
      <c r="L30" s="1">
        <f t="shared" si="12"/>
        <v>3005.06</v>
      </c>
      <c r="N30" s="1">
        <f t="shared" si="13"/>
        <v>3005.06</v>
      </c>
      <c r="O30" s="1"/>
      <c r="Q30" s="1">
        <f t="shared" si="14"/>
        <v>3005.06</v>
      </c>
      <c r="T30" s="1">
        <f t="shared" si="16"/>
        <v>3005.06</v>
      </c>
      <c r="U30" s="1">
        <f t="shared" si="16"/>
        <v>3005.06</v>
      </c>
      <c r="V30" s="1">
        <f t="shared" si="17"/>
        <v>0</v>
      </c>
      <c r="W30" s="1">
        <f t="shared" si="18"/>
        <v>3005.06</v>
      </c>
      <c r="X30" s="1">
        <v>3000</v>
      </c>
      <c r="Y30" s="41">
        <f t="shared" si="3"/>
        <v>-5.0599999999999454</v>
      </c>
      <c r="Z30" s="1">
        <f t="shared" si="4"/>
        <v>3000</v>
      </c>
      <c r="AA30" s="1">
        <v>500</v>
      </c>
      <c r="AB30" s="1">
        <f t="shared" si="22"/>
        <v>-2500</v>
      </c>
      <c r="AC30" s="1">
        <f t="shared" si="6"/>
        <v>500</v>
      </c>
      <c r="AD30" s="41">
        <v>500</v>
      </c>
      <c r="AE30" s="1">
        <f t="shared" si="0"/>
        <v>0</v>
      </c>
      <c r="AF30" s="1">
        <f t="shared" si="19"/>
        <v>500</v>
      </c>
    </row>
    <row r="31" spans="1:32" outlineLevel="2">
      <c r="A31" s="11">
        <v>13000</v>
      </c>
      <c r="B31" s="11">
        <v>23120</v>
      </c>
      <c r="C31" s="11" t="s">
        <v>277</v>
      </c>
      <c r="D31" s="7">
        <v>0</v>
      </c>
      <c r="E31" s="7"/>
      <c r="F31" s="7">
        <f>D31-E31</f>
        <v>0</v>
      </c>
      <c r="G31" s="7">
        <v>1803.04</v>
      </c>
      <c r="H31" s="7">
        <f>D31+G31</f>
        <v>1803.04</v>
      </c>
      <c r="I31" s="1"/>
      <c r="J31" s="1">
        <f t="shared" si="20"/>
        <v>1803.04</v>
      </c>
      <c r="K31" s="1"/>
      <c r="L31" s="1">
        <f t="shared" si="12"/>
        <v>1803.04</v>
      </c>
      <c r="N31" s="1">
        <f t="shared" si="13"/>
        <v>1803.04</v>
      </c>
      <c r="O31" s="1"/>
      <c r="Q31" s="1">
        <f t="shared" si="14"/>
        <v>1803.04</v>
      </c>
      <c r="T31" s="1">
        <f t="shared" si="16"/>
        <v>1803.04</v>
      </c>
      <c r="U31" s="1">
        <f t="shared" si="16"/>
        <v>1803.04</v>
      </c>
      <c r="V31" s="1">
        <f t="shared" si="17"/>
        <v>0</v>
      </c>
      <c r="W31" s="1">
        <f t="shared" si="18"/>
        <v>1803.04</v>
      </c>
      <c r="X31" s="1">
        <v>1800</v>
      </c>
      <c r="Y31" s="41">
        <f t="shared" si="3"/>
        <v>-3.0399999999999636</v>
      </c>
      <c r="Z31" s="1">
        <f t="shared" si="4"/>
        <v>1800</v>
      </c>
      <c r="AA31" s="1">
        <v>500</v>
      </c>
      <c r="AB31" s="1">
        <f t="shared" si="22"/>
        <v>-1300</v>
      </c>
      <c r="AC31" s="1">
        <f t="shared" si="6"/>
        <v>500</v>
      </c>
      <c r="AD31" s="41">
        <v>500</v>
      </c>
      <c r="AE31" s="1">
        <f t="shared" si="0"/>
        <v>0</v>
      </c>
      <c r="AF31" s="1">
        <f t="shared" si="19"/>
        <v>500</v>
      </c>
    </row>
    <row r="32" spans="1:32" outlineLevel="2">
      <c r="A32" s="11">
        <v>13000</v>
      </c>
      <c r="B32" s="34">
        <v>46701</v>
      </c>
      <c r="C32" s="34" t="s">
        <v>419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0</v>
      </c>
      <c r="O32" s="6"/>
      <c r="P32" s="6">
        <v>275268.40999999997</v>
      </c>
      <c r="Q32" s="6">
        <f t="shared" si="14"/>
        <v>275268.40999999997</v>
      </c>
      <c r="R32" s="1">
        <v>271190.53999999998</v>
      </c>
      <c r="S32" s="6">
        <f>R32-Q32</f>
        <v>-4077.8699999999953</v>
      </c>
      <c r="T32" s="1">
        <f t="shared" si="16"/>
        <v>271190.53999999998</v>
      </c>
      <c r="U32" s="1">
        <v>266911.28000000003</v>
      </c>
      <c r="V32" s="1">
        <f t="shared" si="17"/>
        <v>-4279.2599999999511</v>
      </c>
      <c r="W32" s="1">
        <f t="shared" si="18"/>
        <v>266911.28000000003</v>
      </c>
      <c r="X32" s="1">
        <v>266911.28000000003</v>
      </c>
      <c r="Y32" s="41">
        <f t="shared" si="3"/>
        <v>0</v>
      </c>
      <c r="Z32" s="1">
        <f t="shared" si="4"/>
        <v>266911.28000000003</v>
      </c>
      <c r="AA32" s="1">
        <v>293426.94</v>
      </c>
      <c r="AB32" s="1">
        <f t="shared" si="22"/>
        <v>26515.659999999974</v>
      </c>
      <c r="AC32" s="1">
        <f t="shared" si="6"/>
        <v>293426.94</v>
      </c>
      <c r="AD32" s="41">
        <v>313311.05</v>
      </c>
      <c r="AE32" s="1">
        <f t="shared" si="0"/>
        <v>19884.109999999986</v>
      </c>
      <c r="AF32" s="1">
        <f t="shared" si="19"/>
        <v>313311.05</v>
      </c>
    </row>
    <row r="33" spans="1:32" outlineLevel="2">
      <c r="A33" s="11">
        <v>13010</v>
      </c>
      <c r="B33" s="11">
        <v>22699</v>
      </c>
      <c r="C33" s="11" t="s">
        <v>534</v>
      </c>
      <c r="D33" s="7">
        <v>3000</v>
      </c>
      <c r="E33" s="7"/>
      <c r="F33" s="7">
        <f>D33-E33</f>
        <v>3000</v>
      </c>
      <c r="G33" s="7"/>
      <c r="H33" s="7">
        <f>D33+G33</f>
        <v>3000</v>
      </c>
      <c r="I33" s="7"/>
      <c r="J33" s="7">
        <f>H33-I33</f>
        <v>3000</v>
      </c>
      <c r="K33" s="7"/>
      <c r="L33" s="7">
        <v>3000</v>
      </c>
      <c r="M33" s="7">
        <v>0</v>
      </c>
      <c r="N33" s="7">
        <f>L33+M33</f>
        <v>3000</v>
      </c>
      <c r="O33" s="7"/>
      <c r="Q33" s="1">
        <f t="shared" si="14"/>
        <v>3000</v>
      </c>
      <c r="S33" s="1">
        <v>-1200</v>
      </c>
      <c r="T33" s="1">
        <f t="shared" si="16"/>
        <v>1800</v>
      </c>
      <c r="U33" s="1">
        <v>1800</v>
      </c>
      <c r="V33" s="1">
        <f t="shared" si="17"/>
        <v>0</v>
      </c>
      <c r="W33" s="1">
        <f t="shared" si="18"/>
        <v>1800</v>
      </c>
      <c r="X33" s="1">
        <v>1800</v>
      </c>
      <c r="Y33" s="41">
        <f t="shared" si="3"/>
        <v>0</v>
      </c>
      <c r="Z33" s="1">
        <f t="shared" si="4"/>
        <v>1800</v>
      </c>
      <c r="AA33" s="1">
        <v>1800</v>
      </c>
      <c r="AB33" s="1">
        <f t="shared" si="22"/>
        <v>0</v>
      </c>
      <c r="AC33" s="1">
        <f t="shared" si="6"/>
        <v>1800</v>
      </c>
      <c r="AD33" s="41">
        <v>1800</v>
      </c>
      <c r="AE33" s="1">
        <f t="shared" si="0"/>
        <v>0</v>
      </c>
      <c r="AF33" s="1">
        <f t="shared" si="19"/>
        <v>1800</v>
      </c>
    </row>
    <row r="34" spans="1:32" s="2" customFormat="1" outlineLevel="1">
      <c r="A34" s="9" t="s">
        <v>1</v>
      </c>
      <c r="B34" s="9"/>
      <c r="C34" s="9" t="s">
        <v>808</v>
      </c>
      <c r="D34" s="8">
        <f t="shared" ref="D34:K34" si="31">SUBTOTAL(9,D6:D31)</f>
        <v>618099.55999999994</v>
      </c>
      <c r="E34" s="8">
        <f t="shared" si="31"/>
        <v>571934.94999999995</v>
      </c>
      <c r="F34" s="8">
        <f t="shared" si="31"/>
        <v>46164.609999999993</v>
      </c>
      <c r="G34" s="8">
        <f t="shared" si="31"/>
        <v>27341.849999999995</v>
      </c>
      <c r="H34" s="8">
        <f t="shared" si="31"/>
        <v>645441.40999999992</v>
      </c>
      <c r="I34" s="8">
        <f t="shared" si="31"/>
        <v>549632.63</v>
      </c>
      <c r="J34" s="8">
        <f t="shared" si="31"/>
        <v>95808.77999999997</v>
      </c>
      <c r="K34" s="8">
        <f t="shared" si="31"/>
        <v>33197.679999999993</v>
      </c>
      <c r="L34" s="8">
        <f t="shared" ref="L34:AB34" si="32">SUBTOTAL(9,L6:L33)</f>
        <v>681639.09000000008</v>
      </c>
      <c r="M34" s="8">
        <f t="shared" si="32"/>
        <v>-59778.129999999976</v>
      </c>
      <c r="N34" s="8">
        <f t="shared" si="32"/>
        <v>621860.96000000008</v>
      </c>
      <c r="O34" s="8">
        <f t="shared" si="32"/>
        <v>546253.33000000007</v>
      </c>
      <c r="P34" s="8">
        <f t="shared" si="32"/>
        <v>283667.24</v>
      </c>
      <c r="Q34" s="8">
        <f t="shared" si="32"/>
        <v>905528.20000000019</v>
      </c>
      <c r="R34" s="3"/>
      <c r="S34" s="8">
        <f t="shared" si="32"/>
        <v>-110417.98999999999</v>
      </c>
      <c r="T34" s="8">
        <f t="shared" si="32"/>
        <v>795110.21</v>
      </c>
      <c r="U34" s="8">
        <f t="shared" si="32"/>
        <v>772763.52999999991</v>
      </c>
      <c r="V34" s="8">
        <f t="shared" si="32"/>
        <v>-22346.679999999971</v>
      </c>
      <c r="W34" s="8">
        <f t="shared" si="32"/>
        <v>772763.52999999991</v>
      </c>
      <c r="X34" s="8">
        <f t="shared" si="32"/>
        <v>825311.78</v>
      </c>
      <c r="Y34" s="8">
        <f t="shared" si="32"/>
        <v>52548.250000000036</v>
      </c>
      <c r="Z34" s="8">
        <f t="shared" si="32"/>
        <v>825311.78</v>
      </c>
      <c r="AA34" s="8">
        <f t="shared" si="32"/>
        <v>896609.89999999991</v>
      </c>
      <c r="AB34" s="8">
        <f t="shared" si="32"/>
        <v>71298.119999999937</v>
      </c>
      <c r="AC34" s="8">
        <f>SUBTOTAL(9,AC6:AC33)</f>
        <v>896609.89999999991</v>
      </c>
      <c r="AD34" s="8">
        <f t="shared" ref="AD34:AF34" si="33">SUBTOTAL(9,AD6:AD33)</f>
        <v>1181001.1100000001</v>
      </c>
      <c r="AE34" s="8">
        <f t="shared" si="33"/>
        <v>284391.21000000002</v>
      </c>
      <c r="AF34" s="8">
        <f t="shared" si="33"/>
        <v>1181001.1100000001</v>
      </c>
    </row>
    <row r="35" spans="1:32" outlineLevel="2">
      <c r="A35" s="11">
        <v>13200</v>
      </c>
      <c r="B35" s="11">
        <v>12000</v>
      </c>
      <c r="C35" s="11" t="s">
        <v>75</v>
      </c>
      <c r="D35" s="7">
        <v>1676085.3</v>
      </c>
      <c r="E35" s="7">
        <v>21478.65</v>
      </c>
      <c r="F35" s="7">
        <f t="shared" si="10"/>
        <v>1654606.6500000001</v>
      </c>
      <c r="G35" s="7">
        <v>-1654606.65</v>
      </c>
      <c r="H35" s="7">
        <f t="shared" si="11"/>
        <v>21478.65000000014</v>
      </c>
      <c r="I35" s="1">
        <v>14677.32</v>
      </c>
      <c r="J35" s="1">
        <f>H35-I35</f>
        <v>6801.33000000014</v>
      </c>
      <c r="K35" s="1">
        <v>-6801.33</v>
      </c>
      <c r="L35" s="1">
        <f>H35+K35</f>
        <v>14677.32000000014</v>
      </c>
      <c r="N35" s="1">
        <f t="shared" ref="N35:N61" si="34">L35+M35</f>
        <v>14677.32000000014</v>
      </c>
      <c r="O35" s="1">
        <v>14677.32</v>
      </c>
      <c r="P35" s="1">
        <f t="shared" ref="P35:P44" si="35">O35-N35</f>
        <v>-1.4006218407303095E-10</v>
      </c>
      <c r="Q35" s="1">
        <f t="shared" ref="Q35:Q61" si="36">N35+P35</f>
        <v>14677.32</v>
      </c>
      <c r="R35" s="1">
        <v>14677.32</v>
      </c>
      <c r="S35" s="1">
        <f t="shared" ref="S35:S44" si="37">R35-Q35</f>
        <v>0</v>
      </c>
      <c r="T35" s="1">
        <f t="shared" ref="T35:U82" si="38">Q35+S35</f>
        <v>14677.32</v>
      </c>
      <c r="U35" s="1">
        <v>14677.32</v>
      </c>
      <c r="V35" s="1">
        <f t="shared" ref="V35:V61" si="39">U35-T35</f>
        <v>0</v>
      </c>
      <c r="W35" s="1">
        <f t="shared" si="18"/>
        <v>14677.32</v>
      </c>
      <c r="X35" s="1">
        <v>16621.48</v>
      </c>
      <c r="Y35" s="41">
        <f t="shared" si="3"/>
        <v>1944.1599999999999</v>
      </c>
      <c r="Z35" s="1">
        <f t="shared" si="4"/>
        <v>16621.48</v>
      </c>
      <c r="AA35" s="1">
        <v>14972.45</v>
      </c>
      <c r="AB35" s="1">
        <f>AA35-Z35</f>
        <v>-1649.0299999999988</v>
      </c>
      <c r="AC35" s="1">
        <f t="shared" si="6"/>
        <v>14972.45</v>
      </c>
      <c r="AD35" s="41">
        <v>15197.15</v>
      </c>
      <c r="AE35" s="1">
        <f t="shared" si="0"/>
        <v>224.69999999999891</v>
      </c>
      <c r="AF35" s="1">
        <f t="shared" si="19"/>
        <v>15197.15</v>
      </c>
    </row>
    <row r="36" spans="1:32" outlineLevel="2">
      <c r="A36" s="11">
        <v>13200</v>
      </c>
      <c r="B36" s="11">
        <v>12001</v>
      </c>
      <c r="C36" s="42" t="s">
        <v>676</v>
      </c>
      <c r="D36" s="7">
        <v>0</v>
      </c>
      <c r="E36" s="7">
        <v>90495.75</v>
      </c>
      <c r="F36" s="7">
        <f>D36-E36</f>
        <v>-90495.75</v>
      </c>
      <c r="G36" s="7">
        <v>90495.75</v>
      </c>
      <c r="H36" s="7">
        <f>D36+G36</f>
        <v>90495.75</v>
      </c>
      <c r="I36" s="1">
        <v>64532.6</v>
      </c>
      <c r="J36" s="1">
        <f t="shared" ref="J36:J44" si="40">H36-I36</f>
        <v>25963.15</v>
      </c>
      <c r="K36" s="1">
        <v>-25963.15</v>
      </c>
      <c r="L36" s="1">
        <f t="shared" ref="L36:L44" si="41">H36+K36</f>
        <v>64532.6</v>
      </c>
      <c r="M36" s="7">
        <f>46947.62-L36</f>
        <v>-17584.979999999996</v>
      </c>
      <c r="N36" s="1">
        <f t="shared" si="34"/>
        <v>46947.62</v>
      </c>
      <c r="O36" s="1">
        <v>38719.56</v>
      </c>
      <c r="P36" s="1">
        <f t="shared" si="35"/>
        <v>-8228.0600000000049</v>
      </c>
      <c r="Q36" s="1">
        <f t="shared" si="36"/>
        <v>38719.56</v>
      </c>
      <c r="R36" s="1">
        <v>51626.080000000002</v>
      </c>
      <c r="S36" s="1">
        <f t="shared" si="37"/>
        <v>12906.520000000004</v>
      </c>
      <c r="T36" s="1">
        <f t="shared" si="38"/>
        <v>51626.080000000002</v>
      </c>
      <c r="U36" s="1">
        <v>38719.56</v>
      </c>
      <c r="V36" s="1">
        <f t="shared" si="39"/>
        <v>-12906.520000000004</v>
      </c>
      <c r="W36" s="1">
        <f t="shared" si="18"/>
        <v>38719.56</v>
      </c>
      <c r="X36" s="1">
        <v>45485.95</v>
      </c>
      <c r="Y36" s="41">
        <f t="shared" si="3"/>
        <v>6766.3899999999994</v>
      </c>
      <c r="Z36" s="1">
        <f t="shared" si="4"/>
        <v>45485.95</v>
      </c>
      <c r="AA36" s="1">
        <v>65829.77</v>
      </c>
      <c r="AB36" s="1">
        <f t="shared" ref="AB36:AB62" si="42">AA36-Z36</f>
        <v>20343.820000000007</v>
      </c>
      <c r="AC36" s="1">
        <f t="shared" si="6"/>
        <v>65829.77</v>
      </c>
      <c r="AD36" s="41">
        <v>66817.5</v>
      </c>
      <c r="AE36" s="1">
        <f t="shared" si="0"/>
        <v>987.72999999999593</v>
      </c>
      <c r="AF36" s="1">
        <f t="shared" si="19"/>
        <v>66817.5</v>
      </c>
    </row>
    <row r="37" spans="1:32" outlineLevel="2">
      <c r="A37" s="11">
        <v>13200</v>
      </c>
      <c r="B37" s="11">
        <v>12003</v>
      </c>
      <c r="C37" s="11" t="s">
        <v>76</v>
      </c>
      <c r="D37" s="7">
        <v>0</v>
      </c>
      <c r="E37" s="7">
        <v>1440109.62</v>
      </c>
      <c r="F37" s="7">
        <f>D37-E37</f>
        <v>-1440109.62</v>
      </c>
      <c r="G37" s="7">
        <v>1440109.62</v>
      </c>
      <c r="H37" s="7">
        <f>D37+G37</f>
        <v>1440109.62</v>
      </c>
      <c r="I37" s="1">
        <v>998368.84</v>
      </c>
      <c r="J37" s="1">
        <f t="shared" si="40"/>
        <v>441740.78000000014</v>
      </c>
      <c r="K37" s="1">
        <v>-441740.78</v>
      </c>
      <c r="L37" s="1">
        <f t="shared" si="41"/>
        <v>998368.84000000008</v>
      </c>
      <c r="M37" s="7">
        <f>988484-L37</f>
        <v>-9884.8400000000838</v>
      </c>
      <c r="N37" s="1">
        <f t="shared" si="34"/>
        <v>988484</v>
      </c>
      <c r="O37" s="1">
        <v>968714.32</v>
      </c>
      <c r="P37" s="1">
        <f t="shared" si="35"/>
        <v>-19769.680000000051</v>
      </c>
      <c r="Q37" s="1">
        <f t="shared" si="36"/>
        <v>968714.32</v>
      </c>
      <c r="R37" s="1">
        <v>958829.48</v>
      </c>
      <c r="S37" s="1">
        <f t="shared" si="37"/>
        <v>-9884.8399999999674</v>
      </c>
      <c r="T37" s="1">
        <f t="shared" si="38"/>
        <v>958829.48</v>
      </c>
      <c r="U37" s="1">
        <v>958829.48</v>
      </c>
      <c r="V37" s="1">
        <f t="shared" si="39"/>
        <v>0</v>
      </c>
      <c r="W37" s="1">
        <f t="shared" si="18"/>
        <v>958829.48</v>
      </c>
      <c r="X37" s="1">
        <v>1063560.01</v>
      </c>
      <c r="Y37" s="41">
        <f t="shared" si="3"/>
        <v>104730.53000000003</v>
      </c>
      <c r="Z37" s="1">
        <f t="shared" si="4"/>
        <v>1063560.01</v>
      </c>
      <c r="AA37" s="1">
        <v>1028530.99</v>
      </c>
      <c r="AB37" s="1">
        <f t="shared" si="42"/>
        <v>-35029.020000000019</v>
      </c>
      <c r="AC37" s="1">
        <f t="shared" si="6"/>
        <v>1028530.99</v>
      </c>
      <c r="AD37" s="41">
        <v>1033736.01</v>
      </c>
      <c r="AE37" s="1">
        <f t="shared" si="0"/>
        <v>5205.0200000000186</v>
      </c>
      <c r="AF37" s="1">
        <f t="shared" si="19"/>
        <v>1033736.01</v>
      </c>
    </row>
    <row r="38" spans="1:32" outlineLevel="2">
      <c r="A38" s="11">
        <v>13200</v>
      </c>
      <c r="B38" s="11">
        <v>12004</v>
      </c>
      <c r="C38" s="11" t="s">
        <v>77</v>
      </c>
      <c r="D38" s="7">
        <v>0</v>
      </c>
      <c r="E38" s="7">
        <v>20280.29</v>
      </c>
      <c r="F38" s="7">
        <f>D38-E38</f>
        <v>-20280.29</v>
      </c>
      <c r="G38" s="7">
        <v>20280.29</v>
      </c>
      <c r="H38" s="7">
        <f>D38+G38</f>
        <v>20280.29</v>
      </c>
      <c r="I38" s="1">
        <v>16757.16</v>
      </c>
      <c r="J38" s="1">
        <f t="shared" si="40"/>
        <v>3523.130000000001</v>
      </c>
      <c r="K38" s="1">
        <v>-3523.13</v>
      </c>
      <c r="L38" s="1">
        <f t="shared" si="41"/>
        <v>16757.16</v>
      </c>
      <c r="M38" s="7">
        <v>0</v>
      </c>
      <c r="N38" s="1">
        <f t="shared" si="34"/>
        <v>16757.16</v>
      </c>
      <c r="O38" s="1">
        <v>16757.16</v>
      </c>
      <c r="P38" s="1">
        <f t="shared" si="35"/>
        <v>0</v>
      </c>
      <c r="Q38" s="1">
        <f t="shared" si="36"/>
        <v>16757.16</v>
      </c>
      <c r="R38" s="1">
        <v>16757.16</v>
      </c>
      <c r="S38" s="1">
        <f t="shared" si="37"/>
        <v>0</v>
      </c>
      <c r="T38" s="1">
        <f t="shared" si="38"/>
        <v>16757.16</v>
      </c>
      <c r="U38" s="1">
        <v>16757.16</v>
      </c>
      <c r="V38" s="1">
        <f t="shared" si="39"/>
        <v>0</v>
      </c>
      <c r="W38" s="1">
        <f t="shared" si="18"/>
        <v>16757.16</v>
      </c>
      <c r="X38" s="1">
        <v>18366.900000000001</v>
      </c>
      <c r="Y38" s="41">
        <f t="shared" si="3"/>
        <v>1609.7400000000016</v>
      </c>
      <c r="Z38" s="1">
        <f t="shared" si="4"/>
        <v>18366.900000000001</v>
      </c>
      <c r="AA38" s="1">
        <v>25641.15</v>
      </c>
      <c r="AB38" s="1">
        <f t="shared" si="42"/>
        <v>7274.25</v>
      </c>
      <c r="AC38" s="1">
        <f t="shared" si="6"/>
        <v>25641.15</v>
      </c>
      <c r="AD38" s="41">
        <v>26750.98</v>
      </c>
      <c r="AE38" s="1">
        <f t="shared" si="0"/>
        <v>1109.8299999999981</v>
      </c>
      <c r="AF38" s="1">
        <f t="shared" si="19"/>
        <v>26750.98</v>
      </c>
    </row>
    <row r="39" spans="1:32" outlineLevel="2">
      <c r="A39" s="11">
        <v>13200</v>
      </c>
      <c r="B39" s="11">
        <v>12005</v>
      </c>
      <c r="C39" s="42" t="s">
        <v>773</v>
      </c>
      <c r="D39" s="7"/>
      <c r="E39" s="7"/>
      <c r="F39" s="7"/>
      <c r="G39" s="7"/>
      <c r="H39" s="7"/>
      <c r="I39" s="1"/>
      <c r="J39" s="1"/>
      <c r="K39" s="1"/>
      <c r="L39" s="1"/>
      <c r="N39" s="1"/>
      <c r="O39" s="1"/>
      <c r="T39" s="1"/>
      <c r="U39" s="1">
        <v>23035.74</v>
      </c>
      <c r="V39" s="1">
        <f t="shared" ref="V39" si="43">U39-T39</f>
        <v>23035.74</v>
      </c>
      <c r="W39" s="1">
        <f t="shared" ref="W39" si="44">T39+V39</f>
        <v>23035.74</v>
      </c>
      <c r="X39" s="1">
        <v>23266.11</v>
      </c>
      <c r="Y39" s="41">
        <f t="shared" si="3"/>
        <v>230.36999999999898</v>
      </c>
      <c r="Z39" s="1">
        <f t="shared" si="4"/>
        <v>23266.11</v>
      </c>
      <c r="AA39" s="1">
        <v>23498.97</v>
      </c>
      <c r="AB39" s="1">
        <f t="shared" si="42"/>
        <v>232.86000000000058</v>
      </c>
      <c r="AC39" s="1">
        <f t="shared" si="6"/>
        <v>23498.97</v>
      </c>
      <c r="AD39" s="41">
        <v>31801.89</v>
      </c>
      <c r="AE39" s="1">
        <f t="shared" si="0"/>
        <v>8302.9199999999983</v>
      </c>
      <c r="AF39" s="1">
        <f t="shared" si="19"/>
        <v>31801.89</v>
      </c>
    </row>
    <row r="40" spans="1:32" outlineLevel="2">
      <c r="A40" s="11">
        <v>13200</v>
      </c>
      <c r="B40" s="11">
        <v>12006</v>
      </c>
      <c r="C40" s="11" t="s">
        <v>81</v>
      </c>
      <c r="D40" s="7">
        <v>0</v>
      </c>
      <c r="E40" s="7">
        <v>134820.37</v>
      </c>
      <c r="F40" s="7">
        <f>D40-E40</f>
        <v>-134820.37</v>
      </c>
      <c r="G40" s="7">
        <v>134820.37</v>
      </c>
      <c r="H40" s="7">
        <f>D40+G40</f>
        <v>134820.37</v>
      </c>
      <c r="I40" s="1">
        <v>173763.38</v>
      </c>
      <c r="J40" s="1">
        <f t="shared" si="40"/>
        <v>-38943.010000000009</v>
      </c>
      <c r="K40" s="1">
        <v>38943.01</v>
      </c>
      <c r="L40" s="1">
        <f t="shared" si="41"/>
        <v>173763.38</v>
      </c>
      <c r="M40" s="7">
        <f>175493.62-L40</f>
        <v>1730.2399999999907</v>
      </c>
      <c r="N40" s="1">
        <f t="shared" si="34"/>
        <v>175493.62</v>
      </c>
      <c r="O40" s="1">
        <v>180031.75</v>
      </c>
      <c r="P40" s="1">
        <f t="shared" si="35"/>
        <v>4538.1300000000047</v>
      </c>
      <c r="Q40" s="1">
        <f t="shared" si="36"/>
        <v>180031.75</v>
      </c>
      <c r="R40" s="1">
        <v>189781.37</v>
      </c>
      <c r="S40" s="1">
        <f t="shared" si="37"/>
        <v>9749.6199999999953</v>
      </c>
      <c r="T40" s="1">
        <f t="shared" si="38"/>
        <v>189781.37</v>
      </c>
      <c r="U40" s="1">
        <v>208014.62</v>
      </c>
      <c r="V40" s="1">
        <f t="shared" si="39"/>
        <v>18233.25</v>
      </c>
      <c r="W40" s="1">
        <f t="shared" si="18"/>
        <v>208014.62</v>
      </c>
      <c r="X40" s="1">
        <v>215630.79</v>
      </c>
      <c r="Y40" s="41">
        <f t="shared" si="3"/>
        <v>7616.1700000000128</v>
      </c>
      <c r="Z40" s="1">
        <f t="shared" si="4"/>
        <v>215630.79</v>
      </c>
      <c r="AA40" s="1">
        <v>229941.56</v>
      </c>
      <c r="AB40" s="1">
        <f t="shared" si="42"/>
        <v>14310.76999999999</v>
      </c>
      <c r="AC40" s="1">
        <f t="shared" si="6"/>
        <v>229941.56</v>
      </c>
      <c r="AD40" s="41">
        <v>248170.9</v>
      </c>
      <c r="AE40" s="1">
        <f t="shared" si="0"/>
        <v>18229.339999999997</v>
      </c>
      <c r="AF40" s="1">
        <f t="shared" si="19"/>
        <v>248170.9</v>
      </c>
    </row>
    <row r="41" spans="1:32" outlineLevel="2">
      <c r="A41" s="11">
        <v>13200</v>
      </c>
      <c r="B41" s="11">
        <v>12100</v>
      </c>
      <c r="C41" s="11" t="s">
        <v>84</v>
      </c>
      <c r="D41" s="7">
        <v>1891816.82</v>
      </c>
      <c r="E41" s="7">
        <v>616953.18999999994</v>
      </c>
      <c r="F41" s="7">
        <f t="shared" si="10"/>
        <v>1274863.6300000001</v>
      </c>
      <c r="G41" s="7">
        <v>-1274863.6299999999</v>
      </c>
      <c r="H41" s="7">
        <f t="shared" si="11"/>
        <v>616953.19000000018</v>
      </c>
      <c r="I41" s="1">
        <v>632200.52</v>
      </c>
      <c r="J41" s="1">
        <f t="shared" si="40"/>
        <v>-15247.329999999842</v>
      </c>
      <c r="K41" s="1">
        <v>15247.33</v>
      </c>
      <c r="L41" s="1">
        <f t="shared" si="41"/>
        <v>632200.52000000014</v>
      </c>
      <c r="M41" s="7">
        <f>616671.58-L41</f>
        <v>-15528.940000000177</v>
      </c>
      <c r="N41" s="1">
        <f t="shared" si="34"/>
        <v>616671.57999999996</v>
      </c>
      <c r="O41" s="1">
        <v>601537.02</v>
      </c>
      <c r="P41" s="1">
        <f t="shared" si="35"/>
        <v>-15134.559999999939</v>
      </c>
      <c r="Q41" s="1">
        <f t="shared" si="36"/>
        <v>601537.02</v>
      </c>
      <c r="R41" s="1">
        <v>604170.84</v>
      </c>
      <c r="S41" s="1">
        <f t="shared" si="37"/>
        <v>2633.8199999999488</v>
      </c>
      <c r="T41" s="1">
        <f t="shared" si="38"/>
        <v>604170.84</v>
      </c>
      <c r="U41" s="1">
        <v>608858.18000000005</v>
      </c>
      <c r="V41" s="1">
        <f t="shared" si="39"/>
        <v>4687.3400000000838</v>
      </c>
      <c r="W41" s="1">
        <f t="shared" si="18"/>
        <v>608858.18000000005</v>
      </c>
      <c r="X41" s="1">
        <v>620529.21</v>
      </c>
      <c r="Y41" s="41">
        <f t="shared" si="3"/>
        <v>11671.029999999912</v>
      </c>
      <c r="Z41" s="1">
        <f t="shared" si="4"/>
        <v>620529.21</v>
      </c>
      <c r="AA41" s="1">
        <v>673863.25</v>
      </c>
      <c r="AB41" s="1">
        <f t="shared" si="42"/>
        <v>53334.040000000037</v>
      </c>
      <c r="AC41" s="1">
        <f t="shared" si="6"/>
        <v>673863.25</v>
      </c>
      <c r="AD41" s="41">
        <v>682024</v>
      </c>
      <c r="AE41" s="1">
        <f t="shared" si="0"/>
        <v>8160.75</v>
      </c>
      <c r="AF41" s="1">
        <f t="shared" si="19"/>
        <v>682024</v>
      </c>
    </row>
    <row r="42" spans="1:32" outlineLevel="2">
      <c r="A42" s="11">
        <v>13200</v>
      </c>
      <c r="B42" s="11">
        <v>12101</v>
      </c>
      <c r="C42" s="11" t="s">
        <v>628</v>
      </c>
      <c r="D42" s="7">
        <v>0</v>
      </c>
      <c r="E42" s="7">
        <v>1281451.25</v>
      </c>
      <c r="F42" s="7">
        <f>D42-E42</f>
        <v>-1281451.25</v>
      </c>
      <c r="G42" s="7">
        <v>1281451.25</v>
      </c>
      <c r="H42" s="7">
        <f>D42+G42</f>
        <v>1281451.25</v>
      </c>
      <c r="I42" s="1">
        <v>1387383.06</v>
      </c>
      <c r="J42" s="1">
        <f t="shared" si="40"/>
        <v>-105931.81000000006</v>
      </c>
      <c r="K42" s="1">
        <v>105931.81</v>
      </c>
      <c r="L42" s="1">
        <f t="shared" si="41"/>
        <v>1387383.06</v>
      </c>
      <c r="M42" s="7">
        <f>1325088.31-L42</f>
        <v>-62294.75</v>
      </c>
      <c r="N42" s="1">
        <f t="shared" si="34"/>
        <v>1325088.31</v>
      </c>
      <c r="O42" s="1">
        <v>1313167.8</v>
      </c>
      <c r="P42" s="1">
        <f t="shared" si="35"/>
        <v>-11920.510000000009</v>
      </c>
      <c r="Q42" s="1">
        <f t="shared" si="36"/>
        <v>1313167.8</v>
      </c>
      <c r="R42" s="1">
        <v>1307758.06</v>
      </c>
      <c r="S42" s="1">
        <f t="shared" si="37"/>
        <v>-5409.7399999999907</v>
      </c>
      <c r="T42" s="1">
        <f t="shared" si="38"/>
        <v>1307758.06</v>
      </c>
      <c r="U42" s="1">
        <v>1313095.28</v>
      </c>
      <c r="V42" s="1">
        <f t="shared" si="39"/>
        <v>5337.2199999999721</v>
      </c>
      <c r="W42" s="1">
        <f t="shared" si="18"/>
        <v>1313095.28</v>
      </c>
      <c r="X42" s="1">
        <v>1315164.54</v>
      </c>
      <c r="Y42" s="41">
        <f t="shared" si="3"/>
        <v>2069.2600000000093</v>
      </c>
      <c r="Z42" s="1">
        <f t="shared" si="4"/>
        <v>1315164.54</v>
      </c>
      <c r="AA42" s="1">
        <v>1419079.18</v>
      </c>
      <c r="AB42" s="1">
        <f t="shared" si="42"/>
        <v>103914.6399999999</v>
      </c>
      <c r="AC42" s="1">
        <f t="shared" si="6"/>
        <v>1419079.18</v>
      </c>
      <c r="AD42" s="41">
        <v>1445819.34</v>
      </c>
      <c r="AE42" s="1">
        <f t="shared" si="0"/>
        <v>26740.160000000149</v>
      </c>
      <c r="AF42" s="1">
        <f t="shared" si="19"/>
        <v>1445819.34</v>
      </c>
    </row>
    <row r="43" spans="1:32" outlineLevel="2">
      <c r="A43" s="11">
        <v>13200</v>
      </c>
      <c r="B43" s="11">
        <v>15000</v>
      </c>
      <c r="C43" s="11" t="s">
        <v>387</v>
      </c>
      <c r="D43" s="7"/>
      <c r="E43" s="7"/>
      <c r="F43" s="7"/>
      <c r="G43" s="7"/>
      <c r="H43" s="7"/>
      <c r="I43" s="1"/>
      <c r="J43" s="1"/>
      <c r="K43" s="1"/>
      <c r="L43" s="1"/>
      <c r="N43" s="1">
        <v>0</v>
      </c>
      <c r="O43" s="1">
        <v>30000</v>
      </c>
      <c r="P43" s="1">
        <f t="shared" si="35"/>
        <v>30000</v>
      </c>
      <c r="Q43" s="1">
        <f t="shared" si="36"/>
        <v>30000</v>
      </c>
      <c r="R43" s="1">
        <v>30000</v>
      </c>
      <c r="S43" s="1">
        <f t="shared" si="37"/>
        <v>0</v>
      </c>
      <c r="T43" s="1">
        <f t="shared" si="38"/>
        <v>30000</v>
      </c>
      <c r="U43" s="1">
        <v>30000</v>
      </c>
      <c r="V43" s="1">
        <f t="shared" si="39"/>
        <v>0</v>
      </c>
      <c r="W43" s="1">
        <f t="shared" si="18"/>
        <v>30000</v>
      </c>
      <c r="X43" s="1">
        <v>25000</v>
      </c>
      <c r="Y43" s="41">
        <f t="shared" si="3"/>
        <v>-5000</v>
      </c>
      <c r="Z43" s="1">
        <f t="shared" si="4"/>
        <v>25000</v>
      </c>
      <c r="AA43" s="1">
        <v>0</v>
      </c>
      <c r="AB43" s="1">
        <f t="shared" si="42"/>
        <v>-25000</v>
      </c>
      <c r="AC43" s="1">
        <f t="shared" si="6"/>
        <v>0</v>
      </c>
      <c r="AD43" s="41">
        <v>0</v>
      </c>
      <c r="AE43" s="1">
        <f t="shared" si="0"/>
        <v>0</v>
      </c>
      <c r="AF43" s="1">
        <f t="shared" si="19"/>
        <v>0</v>
      </c>
    </row>
    <row r="44" spans="1:32" outlineLevel="2">
      <c r="A44" s="11">
        <v>13200</v>
      </c>
      <c r="B44" s="19">
        <v>15100</v>
      </c>
      <c r="C44" s="19" t="s">
        <v>299</v>
      </c>
      <c r="D44" s="20">
        <v>40000</v>
      </c>
      <c r="E44" s="20">
        <v>45000</v>
      </c>
      <c r="F44" s="20">
        <f t="shared" si="10"/>
        <v>-5000</v>
      </c>
      <c r="G44" s="20">
        <v>5000</v>
      </c>
      <c r="H44" s="20">
        <f t="shared" si="11"/>
        <v>45000</v>
      </c>
      <c r="I44" s="21">
        <v>45000</v>
      </c>
      <c r="J44" s="21">
        <f t="shared" si="40"/>
        <v>0</v>
      </c>
      <c r="K44" s="21">
        <v>0</v>
      </c>
      <c r="L44" s="21">
        <f t="shared" si="41"/>
        <v>45000</v>
      </c>
      <c r="N44" s="1">
        <f t="shared" si="34"/>
        <v>45000</v>
      </c>
      <c r="O44" s="1">
        <v>45000</v>
      </c>
      <c r="P44" s="1">
        <f t="shared" si="35"/>
        <v>0</v>
      </c>
      <c r="Q44" s="1">
        <f t="shared" si="36"/>
        <v>45000</v>
      </c>
      <c r="R44" s="1">
        <v>45000</v>
      </c>
      <c r="S44" s="1">
        <f t="shared" si="37"/>
        <v>0</v>
      </c>
      <c r="T44" s="1">
        <f t="shared" si="38"/>
        <v>45000</v>
      </c>
      <c r="U44" s="1">
        <v>60000</v>
      </c>
      <c r="V44" s="1">
        <f t="shared" si="39"/>
        <v>15000</v>
      </c>
      <c r="W44" s="1">
        <f t="shared" si="18"/>
        <v>60000</v>
      </c>
      <c r="X44" s="1">
        <v>80000</v>
      </c>
      <c r="Y44" s="41">
        <f t="shared" si="3"/>
        <v>20000</v>
      </c>
      <c r="Z44" s="1">
        <f t="shared" si="4"/>
        <v>80000</v>
      </c>
      <c r="AA44" s="1">
        <v>50000</v>
      </c>
      <c r="AB44" s="1">
        <f t="shared" si="42"/>
        <v>-30000</v>
      </c>
      <c r="AC44" s="1">
        <f t="shared" si="6"/>
        <v>50000</v>
      </c>
      <c r="AD44" s="41">
        <v>50000</v>
      </c>
      <c r="AE44" s="1">
        <f t="shared" si="0"/>
        <v>0</v>
      </c>
      <c r="AF44" s="1">
        <f t="shared" si="19"/>
        <v>50000</v>
      </c>
    </row>
    <row r="45" spans="1:32" outlineLevel="2">
      <c r="A45" s="11">
        <v>13200</v>
      </c>
      <c r="B45" s="60">
        <v>16000</v>
      </c>
      <c r="C45" s="61" t="s">
        <v>742</v>
      </c>
      <c r="D45" s="62"/>
      <c r="E45" s="62"/>
      <c r="F45" s="62"/>
      <c r="G45" s="62"/>
      <c r="H45" s="62"/>
      <c r="I45" s="62"/>
      <c r="J45" s="62"/>
      <c r="K45" s="62"/>
      <c r="L45" s="62"/>
      <c r="M45" s="53"/>
      <c r="N45" s="53"/>
      <c r="O45" s="53"/>
      <c r="P45" s="53"/>
      <c r="Q45" s="53"/>
      <c r="R45" s="53"/>
      <c r="S45" s="53"/>
      <c r="T45" s="53">
        <v>0</v>
      </c>
      <c r="U45" s="53">
        <v>0</v>
      </c>
      <c r="V45" s="53">
        <f t="shared" ref="V45" si="45">U45-T45</f>
        <v>0</v>
      </c>
      <c r="W45" s="53">
        <f t="shared" ref="W45" si="46">T45+V45</f>
        <v>0</v>
      </c>
      <c r="X45" s="1">
        <v>0</v>
      </c>
      <c r="Y45" s="41">
        <f t="shared" si="3"/>
        <v>0</v>
      </c>
      <c r="Z45" s="1">
        <f t="shared" si="4"/>
        <v>0</v>
      </c>
      <c r="AA45" s="1">
        <v>0</v>
      </c>
      <c r="AB45" s="1">
        <f t="shared" si="42"/>
        <v>0</v>
      </c>
      <c r="AC45" s="1">
        <f t="shared" si="6"/>
        <v>0</v>
      </c>
      <c r="AD45" s="41">
        <v>990079.89</v>
      </c>
      <c r="AE45" s="1">
        <f t="shared" si="0"/>
        <v>990079.89</v>
      </c>
      <c r="AF45" s="1">
        <f t="shared" si="19"/>
        <v>990079.89</v>
      </c>
    </row>
    <row r="46" spans="1:32" outlineLevel="2">
      <c r="A46" s="11">
        <v>13200</v>
      </c>
      <c r="B46" s="60">
        <v>20200</v>
      </c>
      <c r="C46" s="56" t="s">
        <v>906</v>
      </c>
      <c r="D46" s="62"/>
      <c r="E46" s="62"/>
      <c r="F46" s="62"/>
      <c r="G46" s="62"/>
      <c r="H46" s="62"/>
      <c r="I46" s="62"/>
      <c r="J46" s="62"/>
      <c r="K46" s="62"/>
      <c r="L46" s="62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Y46" s="41"/>
      <c r="Z46" s="1"/>
      <c r="AB46" s="1"/>
      <c r="AC46" s="1">
        <v>0</v>
      </c>
      <c r="AD46" s="41">
        <f>3000*1.21*12</f>
        <v>43560</v>
      </c>
      <c r="AE46" s="1">
        <f t="shared" ref="AE46" si="47">AD46-AC46</f>
        <v>43560</v>
      </c>
      <c r="AF46" s="1">
        <f t="shared" ref="AF46" si="48">AC46+AE46</f>
        <v>43560</v>
      </c>
    </row>
    <row r="47" spans="1:32" outlineLevel="2">
      <c r="A47" s="11">
        <v>13200</v>
      </c>
      <c r="B47" s="11">
        <v>20300</v>
      </c>
      <c r="C47" s="11" t="s">
        <v>300</v>
      </c>
      <c r="D47" s="7">
        <v>15000</v>
      </c>
      <c r="E47" s="7">
        <v>10000</v>
      </c>
      <c r="F47" s="7">
        <f t="shared" si="10"/>
        <v>5000</v>
      </c>
      <c r="G47" s="7">
        <v>-5000</v>
      </c>
      <c r="H47" s="7">
        <f t="shared" si="11"/>
        <v>10000</v>
      </c>
      <c r="I47" s="1"/>
      <c r="J47" s="1">
        <f t="shared" si="20"/>
        <v>10000</v>
      </c>
      <c r="K47" s="1">
        <v>15000</v>
      </c>
      <c r="L47" s="1">
        <f t="shared" si="12"/>
        <v>25000</v>
      </c>
      <c r="M47" s="7">
        <v>5000</v>
      </c>
      <c r="N47" s="1">
        <f t="shared" si="34"/>
        <v>30000</v>
      </c>
      <c r="O47" s="1"/>
      <c r="P47" s="1">
        <v>5000</v>
      </c>
      <c r="Q47" s="1">
        <f t="shared" si="36"/>
        <v>35000</v>
      </c>
      <c r="S47" s="1">
        <v>-20000</v>
      </c>
      <c r="T47" s="1">
        <f t="shared" si="38"/>
        <v>15000</v>
      </c>
      <c r="U47" s="1">
        <v>20000</v>
      </c>
      <c r="V47" s="1">
        <f t="shared" si="39"/>
        <v>5000</v>
      </c>
      <c r="W47" s="1">
        <f t="shared" si="18"/>
        <v>20000</v>
      </c>
      <c r="X47" s="1">
        <v>25000</v>
      </c>
      <c r="Y47" s="41">
        <f t="shared" si="3"/>
        <v>5000</v>
      </c>
      <c r="Z47" s="1">
        <f t="shared" si="4"/>
        <v>25000</v>
      </c>
      <c r="AA47" s="1">
        <v>25000</v>
      </c>
      <c r="AB47" s="1">
        <f t="shared" si="42"/>
        <v>0</v>
      </c>
      <c r="AC47" s="1">
        <f t="shared" si="6"/>
        <v>25000</v>
      </c>
      <c r="AD47" s="41">
        <v>10000</v>
      </c>
      <c r="AE47" s="1">
        <f t="shared" si="0"/>
        <v>-15000</v>
      </c>
      <c r="AF47" s="1">
        <f t="shared" si="19"/>
        <v>10000</v>
      </c>
    </row>
    <row r="48" spans="1:32" outlineLevel="2">
      <c r="A48" s="11">
        <v>13200</v>
      </c>
      <c r="B48" s="11">
        <v>20400</v>
      </c>
      <c r="C48" s="11" t="s">
        <v>269</v>
      </c>
      <c r="D48" s="7">
        <v>50000</v>
      </c>
      <c r="E48" s="7">
        <v>81000</v>
      </c>
      <c r="F48" s="7">
        <f t="shared" si="10"/>
        <v>-31000</v>
      </c>
      <c r="G48" s="7">
        <v>20000</v>
      </c>
      <c r="H48" s="7">
        <f t="shared" si="11"/>
        <v>70000</v>
      </c>
      <c r="I48" s="1"/>
      <c r="J48" s="1">
        <f t="shared" si="20"/>
        <v>70000</v>
      </c>
      <c r="K48" s="1"/>
      <c r="L48" s="1">
        <f t="shared" si="12"/>
        <v>70000</v>
      </c>
      <c r="M48" s="7">
        <v>25000</v>
      </c>
      <c r="N48" s="1">
        <f t="shared" si="34"/>
        <v>95000</v>
      </c>
      <c r="O48" s="1"/>
      <c r="P48" s="1">
        <v>-10000</v>
      </c>
      <c r="Q48" s="1">
        <f t="shared" si="36"/>
        <v>85000</v>
      </c>
      <c r="S48" s="1">
        <v>15000</v>
      </c>
      <c r="T48" s="1">
        <f t="shared" si="38"/>
        <v>100000</v>
      </c>
      <c r="U48" s="1">
        <v>122000</v>
      </c>
      <c r="V48" s="1">
        <f t="shared" si="39"/>
        <v>22000</v>
      </c>
      <c r="W48" s="1">
        <f t="shared" si="18"/>
        <v>122000</v>
      </c>
      <c r="X48" s="1">
        <f>7000+6200+8400+130000</f>
        <v>151600</v>
      </c>
      <c r="Y48" s="41">
        <f t="shared" si="3"/>
        <v>29600</v>
      </c>
      <c r="Z48" s="1">
        <f t="shared" si="4"/>
        <v>151600</v>
      </c>
      <c r="AA48" s="1">
        <f>7565.16+10860+61766.04+11128.8+7760.16+5443.2</f>
        <v>104523.36</v>
      </c>
      <c r="AB48" s="1">
        <f t="shared" si="42"/>
        <v>-47076.639999999999</v>
      </c>
      <c r="AC48" s="1">
        <f t="shared" si="6"/>
        <v>104523.36</v>
      </c>
      <c r="AD48" s="41">
        <v>135000</v>
      </c>
      <c r="AE48" s="1">
        <f t="shared" si="0"/>
        <v>30476.639999999999</v>
      </c>
      <c r="AF48" s="1">
        <f t="shared" si="19"/>
        <v>135000</v>
      </c>
    </row>
    <row r="49" spans="1:32" outlineLevel="2">
      <c r="A49" s="11">
        <v>13200</v>
      </c>
      <c r="B49" s="11">
        <v>21300</v>
      </c>
      <c r="C49" s="11" t="s">
        <v>301</v>
      </c>
      <c r="D49" s="7">
        <v>20000</v>
      </c>
      <c r="E49" s="7">
        <v>15000</v>
      </c>
      <c r="F49" s="7">
        <f t="shared" si="10"/>
        <v>5000</v>
      </c>
      <c r="G49" s="7">
        <v>-5000</v>
      </c>
      <c r="H49" s="7">
        <f t="shared" si="11"/>
        <v>15000</v>
      </c>
      <c r="I49" s="1"/>
      <c r="J49" s="1">
        <f t="shared" si="20"/>
        <v>15000</v>
      </c>
      <c r="K49" s="1"/>
      <c r="L49" s="1">
        <f t="shared" si="12"/>
        <v>15000</v>
      </c>
      <c r="M49" s="7">
        <v>5000</v>
      </c>
      <c r="N49" s="1">
        <f t="shared" si="34"/>
        <v>20000</v>
      </c>
      <c r="O49" s="1"/>
      <c r="P49" s="1">
        <v>5000</v>
      </c>
      <c r="Q49" s="1">
        <f t="shared" si="36"/>
        <v>25000</v>
      </c>
      <c r="R49" s="1">
        <v>0</v>
      </c>
      <c r="S49" s="1">
        <v>-10000</v>
      </c>
      <c r="T49" s="1">
        <f t="shared" si="38"/>
        <v>15000</v>
      </c>
      <c r="U49" s="1">
        <f t="shared" si="38"/>
        <v>15000</v>
      </c>
      <c r="V49" s="1">
        <f t="shared" si="39"/>
        <v>0</v>
      </c>
      <c r="W49" s="1">
        <f t="shared" si="18"/>
        <v>15000</v>
      </c>
      <c r="X49" s="1">
        <v>23000</v>
      </c>
      <c r="Y49" s="41">
        <f t="shared" si="3"/>
        <v>8000</v>
      </c>
      <c r="Z49" s="1">
        <f t="shared" si="4"/>
        <v>23000</v>
      </c>
      <c r="AA49" s="1">
        <v>23000</v>
      </c>
      <c r="AB49" s="1">
        <f t="shared" si="42"/>
        <v>0</v>
      </c>
      <c r="AC49" s="1">
        <f t="shared" si="6"/>
        <v>23000</v>
      </c>
      <c r="AD49" s="41">
        <v>23000</v>
      </c>
      <c r="AE49" s="1">
        <f t="shared" si="0"/>
        <v>0</v>
      </c>
      <c r="AF49" s="1">
        <f t="shared" si="19"/>
        <v>23000</v>
      </c>
    </row>
    <row r="50" spans="1:32" outlineLevel="2">
      <c r="A50" s="11">
        <v>13200</v>
      </c>
      <c r="B50" s="11">
        <v>21400</v>
      </c>
      <c r="C50" s="11" t="s">
        <v>302</v>
      </c>
      <c r="D50" s="7">
        <v>21600</v>
      </c>
      <c r="E50" s="7">
        <v>20000</v>
      </c>
      <c r="F50" s="7">
        <f t="shared" si="10"/>
        <v>1600</v>
      </c>
      <c r="G50" s="7">
        <v>-1600</v>
      </c>
      <c r="H50" s="7">
        <f t="shared" si="11"/>
        <v>20000</v>
      </c>
      <c r="I50" s="1"/>
      <c r="J50" s="1">
        <f t="shared" si="20"/>
        <v>20000</v>
      </c>
      <c r="K50" s="1"/>
      <c r="L50" s="1">
        <f t="shared" si="12"/>
        <v>20000</v>
      </c>
      <c r="M50" s="7">
        <v>5000</v>
      </c>
      <c r="N50" s="1">
        <f t="shared" si="34"/>
        <v>25000</v>
      </c>
      <c r="O50" s="1"/>
      <c r="Q50" s="1">
        <f t="shared" si="36"/>
        <v>25000</v>
      </c>
      <c r="T50" s="1">
        <f t="shared" si="38"/>
        <v>25000</v>
      </c>
      <c r="U50" s="1">
        <f t="shared" si="38"/>
        <v>25000</v>
      </c>
      <c r="V50" s="1">
        <f t="shared" si="39"/>
        <v>0</v>
      </c>
      <c r="W50" s="1">
        <f t="shared" si="18"/>
        <v>25000</v>
      </c>
      <c r="X50" s="1">
        <v>20000</v>
      </c>
      <c r="Y50" s="41">
        <f t="shared" si="3"/>
        <v>-5000</v>
      </c>
      <c r="Z50" s="1">
        <f t="shared" si="4"/>
        <v>20000</v>
      </c>
      <c r="AA50" s="1">
        <v>20000</v>
      </c>
      <c r="AB50" s="1">
        <f t="shared" si="42"/>
        <v>0</v>
      </c>
      <c r="AC50" s="1">
        <f t="shared" si="6"/>
        <v>20000</v>
      </c>
      <c r="AD50" s="41">
        <v>15000</v>
      </c>
      <c r="AE50" s="1">
        <f t="shared" si="0"/>
        <v>-5000</v>
      </c>
      <c r="AF50" s="1">
        <f t="shared" si="19"/>
        <v>15000</v>
      </c>
    </row>
    <row r="51" spans="1:32" outlineLevel="2">
      <c r="A51" s="11">
        <v>13200</v>
      </c>
      <c r="B51" s="11">
        <v>22000</v>
      </c>
      <c r="C51" s="11" t="s">
        <v>303</v>
      </c>
      <c r="D51" s="7">
        <v>4808.1000000000004</v>
      </c>
      <c r="E51" s="7">
        <v>4500</v>
      </c>
      <c r="F51" s="7">
        <f t="shared" si="10"/>
        <v>308.10000000000036</v>
      </c>
      <c r="G51" s="7">
        <v>-308.10000000000002</v>
      </c>
      <c r="H51" s="7">
        <f t="shared" si="11"/>
        <v>4500</v>
      </c>
      <c r="I51" s="1"/>
      <c r="J51" s="1">
        <f t="shared" si="20"/>
        <v>4500</v>
      </c>
      <c r="K51" s="1"/>
      <c r="L51" s="1">
        <f t="shared" si="12"/>
        <v>4500</v>
      </c>
      <c r="N51" s="1">
        <f t="shared" si="34"/>
        <v>4500</v>
      </c>
      <c r="O51" s="1"/>
      <c r="Q51" s="1">
        <f t="shared" si="36"/>
        <v>4500</v>
      </c>
      <c r="R51" s="1">
        <v>19769.68</v>
      </c>
      <c r="T51" s="1">
        <f t="shared" si="38"/>
        <v>4500</v>
      </c>
      <c r="U51" s="1">
        <v>6500</v>
      </c>
      <c r="V51" s="1">
        <f t="shared" si="39"/>
        <v>2000</v>
      </c>
      <c r="W51" s="1">
        <f t="shared" si="18"/>
        <v>6500</v>
      </c>
      <c r="X51" s="1">
        <v>6500</v>
      </c>
      <c r="Y51" s="41">
        <f t="shared" si="3"/>
        <v>0</v>
      </c>
      <c r="Z51" s="1">
        <f t="shared" si="4"/>
        <v>6500</v>
      </c>
      <c r="AA51" s="1">
        <v>3000</v>
      </c>
      <c r="AB51" s="1">
        <f t="shared" si="42"/>
        <v>-3500</v>
      </c>
      <c r="AC51" s="1">
        <f t="shared" si="6"/>
        <v>3000</v>
      </c>
      <c r="AD51" s="41">
        <v>5000</v>
      </c>
      <c r="AE51" s="1">
        <f t="shared" si="0"/>
        <v>2000</v>
      </c>
      <c r="AF51" s="1">
        <f t="shared" si="19"/>
        <v>5000</v>
      </c>
    </row>
    <row r="52" spans="1:32" outlineLevel="2">
      <c r="A52" s="11">
        <v>13200</v>
      </c>
      <c r="B52" s="11">
        <v>22001</v>
      </c>
      <c r="C52" s="11" t="s">
        <v>304</v>
      </c>
      <c r="D52" s="7">
        <v>353.39</v>
      </c>
      <c r="E52" s="7">
        <v>500</v>
      </c>
      <c r="F52" s="7">
        <f t="shared" si="10"/>
        <v>-146.61000000000001</v>
      </c>
      <c r="G52" s="7">
        <v>146.61000000000001</v>
      </c>
      <c r="H52" s="7">
        <f t="shared" si="11"/>
        <v>500</v>
      </c>
      <c r="I52" s="1"/>
      <c r="J52" s="1">
        <f t="shared" si="20"/>
        <v>500</v>
      </c>
      <c r="K52" s="1"/>
      <c r="L52" s="1">
        <f t="shared" si="12"/>
        <v>500</v>
      </c>
      <c r="N52" s="1">
        <f t="shared" si="34"/>
        <v>500</v>
      </c>
      <c r="O52" s="1"/>
      <c r="Q52" s="1">
        <f t="shared" si="36"/>
        <v>500</v>
      </c>
      <c r="T52" s="1">
        <f t="shared" si="38"/>
        <v>500</v>
      </c>
      <c r="U52" s="1">
        <f t="shared" si="38"/>
        <v>500</v>
      </c>
      <c r="V52" s="1">
        <f t="shared" si="39"/>
        <v>0</v>
      </c>
      <c r="W52" s="1">
        <f t="shared" si="18"/>
        <v>500</v>
      </c>
      <c r="X52" s="1">
        <v>500</v>
      </c>
      <c r="Y52" s="41">
        <f t="shared" si="3"/>
        <v>0</v>
      </c>
      <c r="Z52" s="1">
        <f t="shared" si="4"/>
        <v>500</v>
      </c>
      <c r="AA52" s="1">
        <v>500</v>
      </c>
      <c r="AB52" s="1">
        <f t="shared" si="42"/>
        <v>0</v>
      </c>
      <c r="AC52" s="1">
        <f t="shared" si="6"/>
        <v>500</v>
      </c>
      <c r="AD52" s="41">
        <v>3000</v>
      </c>
      <c r="AE52" s="1">
        <f t="shared" si="0"/>
        <v>2500</v>
      </c>
      <c r="AF52" s="1">
        <f t="shared" si="19"/>
        <v>3000</v>
      </c>
    </row>
    <row r="53" spans="1:32" outlineLevel="2">
      <c r="A53" s="11">
        <v>13200</v>
      </c>
      <c r="B53" s="11">
        <v>22101</v>
      </c>
      <c r="C53" s="11" t="s">
        <v>248</v>
      </c>
      <c r="D53" s="7"/>
      <c r="E53" s="7"/>
      <c r="F53" s="7"/>
      <c r="G53" s="7"/>
      <c r="H53" s="7"/>
      <c r="I53" s="1"/>
      <c r="J53" s="1"/>
      <c r="K53" s="1"/>
      <c r="L53" s="1"/>
      <c r="N53" s="1"/>
      <c r="O53" s="1"/>
      <c r="T53" s="1"/>
      <c r="V53" s="1"/>
      <c r="W53" s="1"/>
      <c r="Y53" s="41"/>
      <c r="Z53" s="1"/>
      <c r="AB53" s="1"/>
      <c r="AC53" s="1">
        <v>0</v>
      </c>
      <c r="AD53" s="41">
        <v>1000</v>
      </c>
      <c r="AE53" s="1">
        <f t="shared" ref="AE53" si="49">AD53-AC53</f>
        <v>1000</v>
      </c>
      <c r="AF53" s="1">
        <f t="shared" ref="AF53" si="50">AC53+AE53</f>
        <v>1000</v>
      </c>
    </row>
    <row r="54" spans="1:32" outlineLevel="2">
      <c r="A54" s="11">
        <v>13200</v>
      </c>
      <c r="B54" s="11">
        <v>22103</v>
      </c>
      <c r="C54" s="11" t="s">
        <v>305</v>
      </c>
      <c r="D54" s="7">
        <v>21708.639999999999</v>
      </c>
      <c r="E54" s="7">
        <v>20000</v>
      </c>
      <c r="F54" s="7">
        <f t="shared" si="10"/>
        <v>1708.6399999999994</v>
      </c>
      <c r="G54" s="7">
        <v>-1708.64</v>
      </c>
      <c r="H54" s="7">
        <f t="shared" si="11"/>
        <v>20000</v>
      </c>
      <c r="I54" s="1"/>
      <c r="J54" s="1">
        <f t="shared" si="20"/>
        <v>20000</v>
      </c>
      <c r="K54" s="1"/>
      <c r="L54" s="1">
        <f t="shared" si="12"/>
        <v>20000</v>
      </c>
      <c r="M54" s="7">
        <v>4000</v>
      </c>
      <c r="N54" s="1">
        <f t="shared" si="34"/>
        <v>24000</v>
      </c>
      <c r="O54" s="1"/>
      <c r="Q54" s="1">
        <f t="shared" si="36"/>
        <v>24000</v>
      </c>
      <c r="S54" s="1">
        <v>10000</v>
      </c>
      <c r="T54" s="1">
        <f t="shared" si="38"/>
        <v>34000</v>
      </c>
      <c r="U54" s="1">
        <f t="shared" si="38"/>
        <v>34000</v>
      </c>
      <c r="V54" s="1">
        <f t="shared" si="39"/>
        <v>0</v>
      </c>
      <c r="W54" s="1">
        <f t="shared" si="18"/>
        <v>34000</v>
      </c>
      <c r="X54" s="1">
        <v>34000</v>
      </c>
      <c r="Y54" s="41">
        <f t="shared" si="3"/>
        <v>0</v>
      </c>
      <c r="Z54" s="1">
        <f t="shared" si="4"/>
        <v>34000</v>
      </c>
      <c r="AA54" s="1">
        <v>34000</v>
      </c>
      <c r="AB54" s="1">
        <f t="shared" si="42"/>
        <v>0</v>
      </c>
      <c r="AC54" s="1">
        <f t="shared" si="6"/>
        <v>34000</v>
      </c>
      <c r="AD54" s="41">
        <v>34000</v>
      </c>
      <c r="AE54" s="1">
        <f t="shared" si="0"/>
        <v>0</v>
      </c>
      <c r="AF54" s="1">
        <f t="shared" si="19"/>
        <v>34000</v>
      </c>
    </row>
    <row r="55" spans="1:32" outlineLevel="2">
      <c r="A55" s="11">
        <v>13200</v>
      </c>
      <c r="B55" s="11">
        <v>22104</v>
      </c>
      <c r="C55" s="11" t="s">
        <v>306</v>
      </c>
      <c r="D55" s="7">
        <v>60000</v>
      </c>
      <c r="E55" s="7">
        <v>40000</v>
      </c>
      <c r="F55" s="7">
        <f t="shared" si="10"/>
        <v>20000</v>
      </c>
      <c r="G55" s="7">
        <v>-20000</v>
      </c>
      <c r="H55" s="7">
        <f t="shared" si="11"/>
        <v>40000</v>
      </c>
      <c r="I55" s="1"/>
      <c r="J55" s="1">
        <f t="shared" si="20"/>
        <v>40000</v>
      </c>
      <c r="K55" s="1"/>
      <c r="L55" s="1">
        <f t="shared" si="12"/>
        <v>40000</v>
      </c>
      <c r="N55" s="1">
        <f t="shared" si="34"/>
        <v>40000</v>
      </c>
      <c r="O55" s="1"/>
      <c r="Q55" s="1">
        <f t="shared" si="36"/>
        <v>40000</v>
      </c>
      <c r="T55" s="1">
        <f t="shared" si="38"/>
        <v>40000</v>
      </c>
      <c r="U55" s="1">
        <f t="shared" si="38"/>
        <v>40000</v>
      </c>
      <c r="V55" s="1">
        <f t="shared" si="39"/>
        <v>0</v>
      </c>
      <c r="W55" s="1">
        <f t="shared" si="18"/>
        <v>40000</v>
      </c>
      <c r="X55" s="1">
        <v>63000</v>
      </c>
      <c r="Y55" s="41">
        <f t="shared" si="3"/>
        <v>23000</v>
      </c>
      <c r="Z55" s="1">
        <f t="shared" si="4"/>
        <v>63000</v>
      </c>
      <c r="AA55" s="1">
        <v>85000</v>
      </c>
      <c r="AB55" s="1">
        <f t="shared" si="42"/>
        <v>22000</v>
      </c>
      <c r="AC55" s="1">
        <f t="shared" si="6"/>
        <v>85000</v>
      </c>
      <c r="AD55" s="41">
        <v>85000</v>
      </c>
      <c r="AE55" s="1">
        <f t="shared" si="0"/>
        <v>0</v>
      </c>
      <c r="AF55" s="1">
        <f t="shared" si="19"/>
        <v>85000</v>
      </c>
    </row>
    <row r="56" spans="1:32" outlineLevel="2">
      <c r="A56" s="11">
        <v>13200</v>
      </c>
      <c r="B56" s="11">
        <v>22199</v>
      </c>
      <c r="C56" s="11" t="s">
        <v>232</v>
      </c>
      <c r="D56" s="7">
        <v>37800</v>
      </c>
      <c r="E56" s="7">
        <v>35000</v>
      </c>
      <c r="F56" s="7">
        <f t="shared" si="10"/>
        <v>2800</v>
      </c>
      <c r="G56" s="7">
        <v>-7800</v>
      </c>
      <c r="H56" s="7">
        <f t="shared" si="11"/>
        <v>30000</v>
      </c>
      <c r="I56" s="1"/>
      <c r="J56" s="1">
        <f t="shared" si="20"/>
        <v>30000</v>
      </c>
      <c r="K56" s="1"/>
      <c r="L56" s="1">
        <f t="shared" si="12"/>
        <v>30000</v>
      </c>
      <c r="N56" s="1">
        <f t="shared" si="34"/>
        <v>30000</v>
      </c>
      <c r="O56" s="1"/>
      <c r="Q56" s="1">
        <f t="shared" si="36"/>
        <v>30000</v>
      </c>
      <c r="T56" s="1">
        <f t="shared" si="38"/>
        <v>30000</v>
      </c>
      <c r="U56" s="1">
        <v>40000</v>
      </c>
      <c r="V56" s="1">
        <f t="shared" si="39"/>
        <v>10000</v>
      </c>
      <c r="W56" s="1">
        <f t="shared" si="18"/>
        <v>40000</v>
      </c>
      <c r="X56" s="1">
        <v>40000</v>
      </c>
      <c r="Y56" s="41">
        <f t="shared" si="3"/>
        <v>0</v>
      </c>
      <c r="Z56" s="1">
        <f t="shared" si="4"/>
        <v>40000</v>
      </c>
      <c r="AA56" s="1">
        <v>40000</v>
      </c>
      <c r="AB56" s="1">
        <f t="shared" si="42"/>
        <v>0</v>
      </c>
      <c r="AC56" s="1">
        <f t="shared" si="6"/>
        <v>40000</v>
      </c>
      <c r="AD56" s="41">
        <f>40000-6300</f>
        <v>33700</v>
      </c>
      <c r="AE56" s="1">
        <f t="shared" si="0"/>
        <v>-6300</v>
      </c>
      <c r="AF56" s="1">
        <f t="shared" si="19"/>
        <v>33700</v>
      </c>
    </row>
    <row r="57" spans="1:32" outlineLevel="2">
      <c r="A57" s="11">
        <v>13200</v>
      </c>
      <c r="B57" s="11">
        <v>22699</v>
      </c>
      <c r="C57" s="42" t="s">
        <v>256</v>
      </c>
      <c r="D57" s="7"/>
      <c r="E57" s="7"/>
      <c r="F57" s="7"/>
      <c r="G57" s="7"/>
      <c r="H57" s="7"/>
      <c r="I57" s="1"/>
      <c r="J57" s="1"/>
      <c r="K57" s="1"/>
      <c r="L57" s="1">
        <v>0</v>
      </c>
      <c r="M57" s="7">
        <v>10000</v>
      </c>
      <c r="N57" s="1">
        <f t="shared" si="34"/>
        <v>10000</v>
      </c>
      <c r="O57" s="1"/>
      <c r="Q57" s="1">
        <f t="shared" si="36"/>
        <v>10000</v>
      </c>
      <c r="T57" s="1">
        <f t="shared" si="38"/>
        <v>10000</v>
      </c>
      <c r="U57" s="1">
        <f t="shared" si="38"/>
        <v>10000</v>
      </c>
      <c r="V57" s="1">
        <f t="shared" si="39"/>
        <v>0</v>
      </c>
      <c r="W57" s="1">
        <f t="shared" si="18"/>
        <v>10000</v>
      </c>
      <c r="X57" s="1">
        <v>10000</v>
      </c>
      <c r="Y57" s="41">
        <f t="shared" si="3"/>
        <v>0</v>
      </c>
      <c r="Z57" s="1">
        <f t="shared" si="4"/>
        <v>10000</v>
      </c>
      <c r="AA57" s="1">
        <v>30000</v>
      </c>
      <c r="AB57" s="1">
        <f t="shared" si="42"/>
        <v>20000</v>
      </c>
      <c r="AC57" s="1">
        <f t="shared" si="6"/>
        <v>30000</v>
      </c>
      <c r="AD57" s="41">
        <v>30000</v>
      </c>
      <c r="AE57" s="1">
        <f t="shared" si="0"/>
        <v>0</v>
      </c>
      <c r="AF57" s="1">
        <f t="shared" si="19"/>
        <v>30000</v>
      </c>
    </row>
    <row r="58" spans="1:32" outlineLevel="2">
      <c r="A58" s="11">
        <v>13200</v>
      </c>
      <c r="B58" s="11">
        <v>22704</v>
      </c>
      <c r="C58" s="11" t="s">
        <v>307</v>
      </c>
      <c r="D58" s="7">
        <v>333000</v>
      </c>
      <c r="E58" s="7">
        <v>333000</v>
      </c>
      <c r="F58" s="7">
        <f t="shared" si="10"/>
        <v>0</v>
      </c>
      <c r="G58" s="7">
        <v>0</v>
      </c>
      <c r="H58" s="7">
        <f t="shared" si="11"/>
        <v>333000</v>
      </c>
      <c r="I58" s="1"/>
      <c r="J58" s="1">
        <f t="shared" si="20"/>
        <v>333000</v>
      </c>
      <c r="K58" s="1"/>
      <c r="L58" s="1">
        <f t="shared" si="12"/>
        <v>333000</v>
      </c>
      <c r="M58" s="7">
        <f>260000-L58</f>
        <v>-73000</v>
      </c>
      <c r="N58" s="1">
        <f t="shared" si="34"/>
        <v>260000</v>
      </c>
      <c r="O58" s="1"/>
      <c r="P58" s="1">
        <f>90000-N58</f>
        <v>-170000</v>
      </c>
      <c r="Q58" s="1">
        <f t="shared" si="36"/>
        <v>90000</v>
      </c>
      <c r="S58" s="1">
        <v>-90000</v>
      </c>
      <c r="T58" s="1">
        <f t="shared" si="38"/>
        <v>0</v>
      </c>
      <c r="U58" s="1">
        <f>69266.69+106269</f>
        <v>175535.69</v>
      </c>
      <c r="V58" s="1">
        <f t="shared" si="39"/>
        <v>175535.69</v>
      </c>
      <c r="W58" s="1">
        <f t="shared" si="18"/>
        <v>175535.69</v>
      </c>
      <c r="X58" s="1">
        <v>0</v>
      </c>
      <c r="Y58" s="41">
        <f t="shared" si="3"/>
        <v>-175535.69</v>
      </c>
      <c r="Z58" s="1">
        <f t="shared" si="4"/>
        <v>0</v>
      </c>
      <c r="AA58" s="1">
        <v>120000</v>
      </c>
      <c r="AB58" s="1">
        <f t="shared" si="42"/>
        <v>120000</v>
      </c>
      <c r="AC58" s="1">
        <f t="shared" si="6"/>
        <v>120000</v>
      </c>
      <c r="AD58" s="41">
        <v>80000</v>
      </c>
      <c r="AE58" s="1">
        <f t="shared" si="0"/>
        <v>-40000</v>
      </c>
      <c r="AF58" s="1">
        <f t="shared" si="19"/>
        <v>80000</v>
      </c>
    </row>
    <row r="59" spans="1:32" outlineLevel="2">
      <c r="A59" s="11">
        <v>13200</v>
      </c>
      <c r="B59" s="11">
        <v>22706</v>
      </c>
      <c r="C59" s="42" t="s">
        <v>898</v>
      </c>
      <c r="D59" s="7"/>
      <c r="E59" s="7"/>
      <c r="F59" s="7"/>
      <c r="G59" s="7"/>
      <c r="H59" s="7"/>
      <c r="I59" s="1"/>
      <c r="J59" s="1"/>
      <c r="K59" s="1"/>
      <c r="L59" s="1"/>
      <c r="N59" s="1"/>
      <c r="O59" s="1"/>
      <c r="T59" s="1"/>
      <c r="V59" s="1"/>
      <c r="W59" s="1"/>
      <c r="Y59" s="41"/>
      <c r="Z59" s="1">
        <v>0</v>
      </c>
      <c r="AA59" s="1">
        <v>1500</v>
      </c>
      <c r="AB59" s="1">
        <f t="shared" ref="AB59" si="51">AA59-Z59</f>
        <v>1500</v>
      </c>
      <c r="AC59" s="1">
        <f t="shared" ref="AC59" si="52">Z59+AB59</f>
        <v>1500</v>
      </c>
      <c r="AD59" s="41">
        <f>1500+6050</f>
        <v>7550</v>
      </c>
      <c r="AE59" s="1">
        <f t="shared" si="0"/>
        <v>6050</v>
      </c>
      <c r="AF59" s="1">
        <f t="shared" si="19"/>
        <v>7550</v>
      </c>
    </row>
    <row r="60" spans="1:32" outlineLevel="2">
      <c r="A60" s="11">
        <v>13200</v>
      </c>
      <c r="B60" s="11">
        <v>23002</v>
      </c>
      <c r="C60" s="11" t="s">
        <v>308</v>
      </c>
      <c r="D60" s="7">
        <v>0</v>
      </c>
      <c r="E60" s="7">
        <v>1000</v>
      </c>
      <c r="F60" s="7">
        <f t="shared" si="10"/>
        <v>-1000</v>
      </c>
      <c r="G60" s="7">
        <v>1000</v>
      </c>
      <c r="H60" s="7">
        <f t="shared" si="11"/>
        <v>1000</v>
      </c>
      <c r="I60" s="1"/>
      <c r="J60" s="1">
        <f t="shared" si="20"/>
        <v>1000</v>
      </c>
      <c r="K60" s="1"/>
      <c r="L60" s="1">
        <f t="shared" si="12"/>
        <v>1000</v>
      </c>
      <c r="N60" s="1">
        <f t="shared" si="34"/>
        <v>1000</v>
      </c>
      <c r="O60" s="1"/>
      <c r="Q60" s="1">
        <f t="shared" si="36"/>
        <v>1000</v>
      </c>
      <c r="T60" s="1">
        <f t="shared" si="38"/>
        <v>1000</v>
      </c>
      <c r="U60" s="1">
        <f t="shared" si="38"/>
        <v>1000</v>
      </c>
      <c r="V60" s="1">
        <f t="shared" si="39"/>
        <v>0</v>
      </c>
      <c r="W60" s="1">
        <f t="shared" si="18"/>
        <v>1000</v>
      </c>
      <c r="X60" s="1">
        <v>1000</v>
      </c>
      <c r="Y60" s="41">
        <f t="shared" si="3"/>
        <v>0</v>
      </c>
      <c r="Z60" s="1">
        <f t="shared" si="4"/>
        <v>1000</v>
      </c>
      <c r="AA60" s="1">
        <v>1000</v>
      </c>
      <c r="AB60" s="1">
        <f t="shared" si="42"/>
        <v>0</v>
      </c>
      <c r="AC60" s="1">
        <f t="shared" si="6"/>
        <v>1000</v>
      </c>
      <c r="AD60" s="41">
        <v>1000</v>
      </c>
      <c r="AE60" s="1">
        <f t="shared" si="0"/>
        <v>0</v>
      </c>
      <c r="AF60" s="1">
        <f t="shared" si="19"/>
        <v>1000</v>
      </c>
    </row>
    <row r="61" spans="1:32" outlineLevel="2">
      <c r="A61" s="11">
        <v>13200</v>
      </c>
      <c r="B61" s="11">
        <v>23102</v>
      </c>
      <c r="C61" s="11" t="s">
        <v>309</v>
      </c>
      <c r="D61" s="7">
        <v>0</v>
      </c>
      <c r="E61" s="7">
        <v>1500</v>
      </c>
      <c r="F61" s="7">
        <f t="shared" si="10"/>
        <v>-1500</v>
      </c>
      <c r="G61" s="7">
        <v>1500</v>
      </c>
      <c r="H61" s="7">
        <f t="shared" si="11"/>
        <v>1500</v>
      </c>
      <c r="I61" s="1"/>
      <c r="J61" s="1">
        <f t="shared" si="20"/>
        <v>1500</v>
      </c>
      <c r="K61" s="1"/>
      <c r="L61" s="1">
        <f t="shared" si="12"/>
        <v>1500</v>
      </c>
      <c r="N61" s="1">
        <f t="shared" si="34"/>
        <v>1500</v>
      </c>
      <c r="O61" s="1"/>
      <c r="Q61" s="1">
        <f t="shared" si="36"/>
        <v>1500</v>
      </c>
      <c r="T61" s="1">
        <f t="shared" si="38"/>
        <v>1500</v>
      </c>
      <c r="U61" s="1">
        <f t="shared" si="38"/>
        <v>1500</v>
      </c>
      <c r="V61" s="1">
        <f t="shared" si="39"/>
        <v>0</v>
      </c>
      <c r="W61" s="1">
        <f t="shared" si="18"/>
        <v>1500</v>
      </c>
      <c r="X61" s="1">
        <v>1500</v>
      </c>
      <c r="Y61" s="41">
        <f t="shared" si="3"/>
        <v>0</v>
      </c>
      <c r="Z61" s="1">
        <f t="shared" si="4"/>
        <v>1500</v>
      </c>
      <c r="AA61" s="1">
        <v>1500</v>
      </c>
      <c r="AB61" s="1">
        <f t="shared" si="42"/>
        <v>0</v>
      </c>
      <c r="AC61" s="1">
        <f t="shared" si="6"/>
        <v>1500</v>
      </c>
      <c r="AD61" s="41">
        <v>1500</v>
      </c>
      <c r="AE61" s="1">
        <f t="shared" si="0"/>
        <v>0</v>
      </c>
      <c r="AF61" s="1">
        <f t="shared" si="19"/>
        <v>1500</v>
      </c>
    </row>
    <row r="62" spans="1:32" outlineLevel="2">
      <c r="A62" s="11">
        <v>13200</v>
      </c>
      <c r="B62" s="11">
        <v>62300</v>
      </c>
      <c r="C62" s="39" t="s">
        <v>691</v>
      </c>
      <c r="D62" s="7"/>
      <c r="E62" s="7"/>
      <c r="F62" s="7"/>
      <c r="G62" s="7"/>
      <c r="H62" s="7"/>
      <c r="I62" s="1"/>
      <c r="J62" s="1"/>
      <c r="K62" s="1"/>
      <c r="L62" s="1"/>
      <c r="N62" s="1"/>
      <c r="O62" s="1"/>
      <c r="T62" s="1"/>
      <c r="V62" s="1"/>
      <c r="W62" s="1">
        <v>0</v>
      </c>
      <c r="X62" s="1">
        <f>8228+19500+25500+6500+5000+52000-26000-6500</f>
        <v>84228</v>
      </c>
      <c r="Y62" s="41">
        <f t="shared" si="3"/>
        <v>84228</v>
      </c>
      <c r="Z62" s="1">
        <f t="shared" si="4"/>
        <v>84228</v>
      </c>
      <c r="AA62" s="1">
        <v>0</v>
      </c>
      <c r="AB62" s="1">
        <f t="shared" si="42"/>
        <v>-84228</v>
      </c>
      <c r="AC62" s="1">
        <f t="shared" si="6"/>
        <v>0</v>
      </c>
      <c r="AD62" s="41">
        <v>6300</v>
      </c>
      <c r="AE62" s="1">
        <f t="shared" si="0"/>
        <v>6300</v>
      </c>
      <c r="AF62" s="1">
        <f t="shared" si="19"/>
        <v>6300</v>
      </c>
    </row>
    <row r="63" spans="1:32" outlineLevel="2">
      <c r="A63" s="11">
        <v>13200</v>
      </c>
      <c r="B63" s="11">
        <v>62400</v>
      </c>
      <c r="C63" s="42" t="s">
        <v>827</v>
      </c>
      <c r="D63" s="7"/>
      <c r="E63" s="7"/>
      <c r="F63" s="7"/>
      <c r="G63" s="7"/>
      <c r="H63" s="7"/>
      <c r="I63" s="1"/>
      <c r="J63" s="1"/>
      <c r="K63" s="1"/>
      <c r="L63" s="1"/>
      <c r="N63" s="1"/>
      <c r="O63" s="1"/>
      <c r="T63" s="1"/>
      <c r="V63" s="1"/>
      <c r="W63" s="1"/>
      <c r="Y63" s="41"/>
      <c r="Z63" s="1">
        <v>0</v>
      </c>
      <c r="AA63" s="1">
        <v>38000</v>
      </c>
      <c r="AB63" s="1">
        <f t="shared" ref="AB63" si="53">AA63-Z63</f>
        <v>38000</v>
      </c>
      <c r="AC63" s="1">
        <f t="shared" ref="AC63" si="54">Z63+AB63</f>
        <v>38000</v>
      </c>
      <c r="AD63" s="41">
        <v>38000</v>
      </c>
      <c r="AE63" s="1">
        <f t="shared" si="0"/>
        <v>0</v>
      </c>
      <c r="AF63" s="1">
        <f t="shared" si="19"/>
        <v>38000</v>
      </c>
    </row>
    <row r="64" spans="1:32" s="2" customFormat="1" outlineLevel="1">
      <c r="A64" s="9" t="s">
        <v>2</v>
      </c>
      <c r="B64" s="9"/>
      <c r="C64" s="9" t="s">
        <v>29</v>
      </c>
      <c r="D64" s="8">
        <f t="shared" ref="D64:L64" si="55">SUBTOTAL(9,D35:D61)</f>
        <v>4172172.2500000005</v>
      </c>
      <c r="E64" s="8">
        <f t="shared" si="55"/>
        <v>4212089.12</v>
      </c>
      <c r="F64" s="8">
        <f t="shared" si="55"/>
        <v>-39916.86999999977</v>
      </c>
      <c r="G64" s="8">
        <f t="shared" si="55"/>
        <v>23916.870000000235</v>
      </c>
      <c r="H64" s="8">
        <f t="shared" si="55"/>
        <v>4196089.12</v>
      </c>
      <c r="I64" s="8">
        <f t="shared" si="55"/>
        <v>3332682.88</v>
      </c>
      <c r="J64" s="8">
        <f t="shared" si="55"/>
        <v>863406.24000000046</v>
      </c>
      <c r="K64" s="8">
        <f t="shared" si="55"/>
        <v>-302906.23999999999</v>
      </c>
      <c r="L64" s="8">
        <f t="shared" si="55"/>
        <v>3893182.8800000004</v>
      </c>
      <c r="M64" s="8">
        <f>SUBTOTAL(9,M35:M61)</f>
        <v>-122563.27000000027</v>
      </c>
      <c r="N64" s="8">
        <f>SUBTOTAL(9,N35:N61)</f>
        <v>3770619.6100000003</v>
      </c>
      <c r="O64" s="8">
        <f>SUBTOTAL(9,O35:O61)</f>
        <v>3208604.9299999997</v>
      </c>
      <c r="P64" s="8">
        <f>SUBTOTAL(9,P35:P61)</f>
        <v>-190514.68000000014</v>
      </c>
      <c r="Q64" s="8">
        <f>SUBTOTAL(9,Q35:Q61)</f>
        <v>3580104.9299999997</v>
      </c>
      <c r="R64" s="3"/>
      <c r="S64" s="8">
        <f>SUBTOTAL(9,S35:S61)</f>
        <v>-85004.62000000001</v>
      </c>
      <c r="T64" s="8">
        <f>SUBTOTAL(9,T35:T61)</f>
        <v>3495100.31</v>
      </c>
      <c r="U64" s="8">
        <f t="shared" ref="U64:V64" si="56">SUBTOTAL(9,U35:U61)</f>
        <v>3763023.03</v>
      </c>
      <c r="V64" s="8">
        <f t="shared" si="56"/>
        <v>267922.72000000009</v>
      </c>
      <c r="W64" s="8">
        <f>SUBTOTAL(9,W35:W62)</f>
        <v>3763023.03</v>
      </c>
      <c r="X64" s="8">
        <f t="shared" ref="X64:Y64" si="57">SUBTOTAL(9,X35:X62)</f>
        <v>3883952.99</v>
      </c>
      <c r="Y64" s="8">
        <f t="shared" si="57"/>
        <v>120929.95999999996</v>
      </c>
      <c r="Z64" s="8">
        <f>SUBTOTAL(9,Z35:Z63)</f>
        <v>3883952.99</v>
      </c>
      <c r="AA64" s="8">
        <f t="shared" ref="AA64:AB64" si="58">SUBTOTAL(9,AA35:AA63)</f>
        <v>4058380.6799999997</v>
      </c>
      <c r="AB64" s="8">
        <f t="shared" si="58"/>
        <v>174427.68999999989</v>
      </c>
      <c r="AC64" s="8">
        <f>SUBTOTAL(9,AC35:AC63)</f>
        <v>4058380.6799999997</v>
      </c>
      <c r="AD64" s="8">
        <f t="shared" ref="AD64:AF64" si="59">SUBTOTAL(9,AD35:AD63)</f>
        <v>5143007.6599999992</v>
      </c>
      <c r="AE64" s="8">
        <f t="shared" si="59"/>
        <v>1084626.98</v>
      </c>
      <c r="AF64" s="8">
        <f t="shared" si="59"/>
        <v>5143007.6599999992</v>
      </c>
    </row>
    <row r="65" spans="1:32" s="2" customFormat="1" outlineLevel="1">
      <c r="A65" s="11">
        <v>13300</v>
      </c>
      <c r="B65" s="11">
        <v>12004</v>
      </c>
      <c r="C65" s="11" t="s">
        <v>693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47">
        <v>0</v>
      </c>
      <c r="R65" s="41">
        <v>16757.16</v>
      </c>
      <c r="S65" s="1">
        <f t="shared" ref="S65:S71" si="60">R65-Q65</f>
        <v>16757.16</v>
      </c>
      <c r="T65" s="1">
        <f t="shared" si="38"/>
        <v>16757.16</v>
      </c>
      <c r="U65" s="1">
        <v>8378.58</v>
      </c>
      <c r="V65" s="1">
        <f t="shared" ref="V65:V82" si="61">U65-T65</f>
        <v>-8378.58</v>
      </c>
      <c r="W65" s="1">
        <f t="shared" si="18"/>
        <v>8378.58</v>
      </c>
      <c r="X65" s="41">
        <v>8462.3700000000008</v>
      </c>
      <c r="Y65" s="41">
        <f t="shared" si="3"/>
        <v>83.790000000000873</v>
      </c>
      <c r="Z65" s="1">
        <f t="shared" si="4"/>
        <v>8462.3700000000008</v>
      </c>
      <c r="AA65" s="41">
        <v>17094.07</v>
      </c>
      <c r="AB65" s="41">
        <f>AA65-Z65</f>
        <v>8631.6999999999989</v>
      </c>
      <c r="AC65" s="1">
        <f t="shared" si="6"/>
        <v>17094.07</v>
      </c>
      <c r="AD65" s="41">
        <v>17350.78</v>
      </c>
      <c r="AE65" s="1">
        <f t="shared" si="0"/>
        <v>256.70999999999913</v>
      </c>
      <c r="AF65" s="1">
        <f t="shared" si="19"/>
        <v>17350.78</v>
      </c>
    </row>
    <row r="66" spans="1:32" s="2" customFormat="1" outlineLevel="1">
      <c r="A66" s="11">
        <v>13300</v>
      </c>
      <c r="B66" s="11">
        <v>12005</v>
      </c>
      <c r="C66" s="11" t="s">
        <v>694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47">
        <v>0</v>
      </c>
      <c r="R66" s="41">
        <v>23035.74</v>
      </c>
      <c r="S66" s="1">
        <f t="shared" si="60"/>
        <v>23035.74</v>
      </c>
      <c r="T66" s="1">
        <f t="shared" si="38"/>
        <v>23035.74</v>
      </c>
      <c r="U66" s="1">
        <v>30714.32</v>
      </c>
      <c r="V66" s="1">
        <f t="shared" si="61"/>
        <v>7678.5799999999981</v>
      </c>
      <c r="W66" s="1">
        <f t="shared" si="18"/>
        <v>30714.32</v>
      </c>
      <c r="X66" s="41">
        <v>23266.11</v>
      </c>
      <c r="Y66" s="41">
        <f t="shared" si="3"/>
        <v>-7448.2099999999991</v>
      </c>
      <c r="Z66" s="1">
        <f t="shared" si="4"/>
        <v>23266.11</v>
      </c>
      <c r="AA66" s="41">
        <v>31331.97</v>
      </c>
      <c r="AB66" s="41">
        <f t="shared" ref="AB66:AB94" si="62">AA66-Z66</f>
        <v>8065.8600000000006</v>
      </c>
      <c r="AC66" s="1">
        <f t="shared" si="6"/>
        <v>31331.97</v>
      </c>
      <c r="AD66" s="41">
        <v>31801.96</v>
      </c>
      <c r="AE66" s="1">
        <f t="shared" si="0"/>
        <v>469.98999999999796</v>
      </c>
      <c r="AF66" s="1">
        <f t="shared" si="19"/>
        <v>31801.96</v>
      </c>
    </row>
    <row r="67" spans="1:32" s="2" customFormat="1" outlineLevel="1">
      <c r="A67" s="11">
        <v>13300</v>
      </c>
      <c r="B67" s="11">
        <v>12006</v>
      </c>
      <c r="C67" s="11" t="s">
        <v>81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47">
        <v>0</v>
      </c>
      <c r="R67" s="41">
        <v>3368.98</v>
      </c>
      <c r="S67" s="1">
        <f t="shared" si="60"/>
        <v>3368.98</v>
      </c>
      <c r="T67" s="1">
        <f t="shared" si="38"/>
        <v>3368.98</v>
      </c>
      <c r="U67" s="1">
        <v>3642.81</v>
      </c>
      <c r="V67" s="1">
        <f t="shared" si="61"/>
        <v>273.82999999999993</v>
      </c>
      <c r="W67" s="1">
        <f t="shared" si="18"/>
        <v>3642.81</v>
      </c>
      <c r="X67" s="41">
        <v>3461.56</v>
      </c>
      <c r="Y67" s="41">
        <f t="shared" si="3"/>
        <v>-181.25</v>
      </c>
      <c r="Z67" s="1">
        <f t="shared" si="4"/>
        <v>3461.56</v>
      </c>
      <c r="AA67" s="41">
        <v>4523.38</v>
      </c>
      <c r="AB67" s="41">
        <f t="shared" si="62"/>
        <v>1061.8200000000002</v>
      </c>
      <c r="AC67" s="1">
        <f t="shared" si="6"/>
        <v>4523.38</v>
      </c>
      <c r="AD67" s="41">
        <v>4564</v>
      </c>
      <c r="AE67" s="1">
        <f t="shared" si="0"/>
        <v>40.619999999999891</v>
      </c>
      <c r="AF67" s="1">
        <f t="shared" si="19"/>
        <v>4564</v>
      </c>
    </row>
    <row r="68" spans="1:32" s="2" customFormat="1" outlineLevel="1">
      <c r="A68" s="11">
        <v>13300</v>
      </c>
      <c r="B68" s="11">
        <v>12100</v>
      </c>
      <c r="C68" s="11" t="s">
        <v>695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7">
        <v>0</v>
      </c>
      <c r="R68" s="41">
        <v>21977.48</v>
      </c>
      <c r="S68" s="1">
        <f t="shared" si="60"/>
        <v>21977.48</v>
      </c>
      <c r="T68" s="1">
        <f t="shared" si="38"/>
        <v>21977.48</v>
      </c>
      <c r="U68" s="1">
        <v>21348.74</v>
      </c>
      <c r="V68" s="1">
        <f t="shared" si="61"/>
        <v>-628.73999999999796</v>
      </c>
      <c r="W68" s="1">
        <f t="shared" si="18"/>
        <v>21348.74</v>
      </c>
      <c r="X68" s="41">
        <v>17567.240000000002</v>
      </c>
      <c r="Y68" s="41">
        <f t="shared" si="3"/>
        <v>-3781.5</v>
      </c>
      <c r="Z68" s="1">
        <f t="shared" si="4"/>
        <v>17567.240000000002</v>
      </c>
      <c r="AA68" s="41">
        <v>26454.52</v>
      </c>
      <c r="AB68" s="41">
        <f t="shared" si="62"/>
        <v>8887.2799999999988</v>
      </c>
      <c r="AC68" s="1">
        <f t="shared" si="6"/>
        <v>26454.52</v>
      </c>
      <c r="AD68" s="41">
        <v>26851.62</v>
      </c>
      <c r="AE68" s="1">
        <f t="shared" si="0"/>
        <v>397.09999999999854</v>
      </c>
      <c r="AF68" s="1">
        <f t="shared" si="19"/>
        <v>26851.62</v>
      </c>
    </row>
    <row r="69" spans="1:32" s="2" customFormat="1" outlineLevel="1">
      <c r="A69" s="11">
        <v>13300</v>
      </c>
      <c r="B69" s="11">
        <v>12101</v>
      </c>
      <c r="C69" s="11" t="s">
        <v>696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47">
        <v>0</v>
      </c>
      <c r="R69" s="41">
        <v>36732.36</v>
      </c>
      <c r="S69" s="1">
        <f t="shared" si="60"/>
        <v>36732.36</v>
      </c>
      <c r="T69" s="1">
        <f t="shared" si="38"/>
        <v>36732.36</v>
      </c>
      <c r="U69" s="1">
        <v>36316.839999999997</v>
      </c>
      <c r="V69" s="1">
        <f t="shared" si="61"/>
        <v>-415.52000000000407</v>
      </c>
      <c r="W69" s="1">
        <f t="shared" si="18"/>
        <v>36316.839999999997</v>
      </c>
      <c r="X69" s="41">
        <v>31487.24</v>
      </c>
      <c r="Y69" s="41">
        <f t="shared" si="3"/>
        <v>-4829.5999999999949</v>
      </c>
      <c r="Z69" s="1">
        <f t="shared" si="4"/>
        <v>31487.24</v>
      </c>
      <c r="AA69" s="41">
        <v>42715.37</v>
      </c>
      <c r="AB69" s="41">
        <f t="shared" si="62"/>
        <v>11228.130000000001</v>
      </c>
      <c r="AC69" s="1">
        <f t="shared" si="6"/>
        <v>42715.37</v>
      </c>
      <c r="AD69" s="41">
        <v>43436.28</v>
      </c>
      <c r="AE69" s="1">
        <f t="shared" si="0"/>
        <v>720.90999999999622</v>
      </c>
      <c r="AF69" s="1">
        <f t="shared" si="19"/>
        <v>43436.28</v>
      </c>
    </row>
    <row r="70" spans="1:32" s="2" customFormat="1" outlineLevel="1">
      <c r="A70" s="11">
        <v>13300</v>
      </c>
      <c r="B70" s="11">
        <v>13000</v>
      </c>
      <c r="C70" s="11" t="s">
        <v>698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47">
        <v>0</v>
      </c>
      <c r="R70" s="41">
        <v>8378.58</v>
      </c>
      <c r="S70" s="1">
        <f t="shared" si="60"/>
        <v>8378.58</v>
      </c>
      <c r="T70" s="1">
        <f t="shared" si="38"/>
        <v>8378.58</v>
      </c>
      <c r="U70" s="1">
        <v>8378.58</v>
      </c>
      <c r="V70" s="1">
        <f t="shared" si="61"/>
        <v>0</v>
      </c>
      <c r="W70" s="1">
        <f t="shared" si="18"/>
        <v>8378.58</v>
      </c>
      <c r="X70" s="41">
        <v>16706.52</v>
      </c>
      <c r="Y70" s="41">
        <f t="shared" si="3"/>
        <v>8327.94</v>
      </c>
      <c r="Z70" s="1">
        <f t="shared" si="4"/>
        <v>16706.52</v>
      </c>
      <c r="AA70" s="41">
        <v>0</v>
      </c>
      <c r="AB70" s="41">
        <f t="shared" si="62"/>
        <v>-16706.52</v>
      </c>
      <c r="AC70" s="1">
        <f t="shared" si="6"/>
        <v>0</v>
      </c>
      <c r="AD70" s="41">
        <v>0</v>
      </c>
      <c r="AE70" s="1">
        <f t="shared" si="0"/>
        <v>0</v>
      </c>
      <c r="AF70" s="1">
        <f t="shared" si="19"/>
        <v>0</v>
      </c>
    </row>
    <row r="71" spans="1:32" s="2" customFormat="1" outlineLevel="1">
      <c r="A71" s="11">
        <v>13300</v>
      </c>
      <c r="B71" s="11">
        <v>13002</v>
      </c>
      <c r="C71" s="11" t="s">
        <v>697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47">
        <v>0</v>
      </c>
      <c r="R71" s="41">
        <v>10141.040000000001</v>
      </c>
      <c r="S71" s="1">
        <f t="shared" si="60"/>
        <v>10141.040000000001</v>
      </c>
      <c r="T71" s="1">
        <f t="shared" si="38"/>
        <v>10141.040000000001</v>
      </c>
      <c r="U71" s="1">
        <v>10141.040000000001</v>
      </c>
      <c r="V71" s="1">
        <f t="shared" si="61"/>
        <v>0</v>
      </c>
      <c r="W71" s="1">
        <f t="shared" si="18"/>
        <v>10141.040000000001</v>
      </c>
      <c r="X71" s="41">
        <v>19781.759999999998</v>
      </c>
      <c r="Y71" s="41">
        <f t="shared" si="3"/>
        <v>9640.7199999999975</v>
      </c>
      <c r="Z71" s="1">
        <f t="shared" si="4"/>
        <v>19781.759999999998</v>
      </c>
      <c r="AA71" s="41">
        <v>0</v>
      </c>
      <c r="AB71" s="41">
        <f t="shared" si="62"/>
        <v>-19781.759999999998</v>
      </c>
      <c r="AC71" s="1">
        <f t="shared" si="6"/>
        <v>0</v>
      </c>
      <c r="AD71" s="41">
        <v>0</v>
      </c>
      <c r="AE71" s="1">
        <f t="shared" si="0"/>
        <v>0</v>
      </c>
      <c r="AF71" s="1">
        <f t="shared" si="19"/>
        <v>0</v>
      </c>
    </row>
    <row r="72" spans="1:32" s="2" customFormat="1" outlineLevel="1">
      <c r="A72" s="11">
        <v>13300</v>
      </c>
      <c r="B72" s="11">
        <v>13100</v>
      </c>
      <c r="C72" s="39" t="s">
        <v>835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47"/>
      <c r="R72" s="41"/>
      <c r="S72" s="1"/>
      <c r="T72" s="1"/>
      <c r="U72" s="1"/>
      <c r="V72" s="1"/>
      <c r="W72" s="1"/>
      <c r="X72" s="41"/>
      <c r="Y72" s="41"/>
      <c r="Z72" s="1">
        <v>0</v>
      </c>
      <c r="AA72" s="41">
        <v>0</v>
      </c>
      <c r="AB72" s="41">
        <f t="shared" ref="AB72:AB75" si="63">AA72-Z72</f>
        <v>0</v>
      </c>
      <c r="AC72" s="1">
        <f t="shared" ref="AC72:AC75" si="64">Z72+AB72</f>
        <v>0</v>
      </c>
      <c r="AD72" s="41">
        <v>0</v>
      </c>
      <c r="AE72" s="1">
        <f t="shared" ref="AE72:AE83" si="65">AD72-AC72</f>
        <v>0</v>
      </c>
      <c r="AF72" s="1">
        <f t="shared" si="19"/>
        <v>0</v>
      </c>
    </row>
    <row r="73" spans="1:32" s="2" customFormat="1" outlineLevel="1">
      <c r="A73" s="11">
        <v>13300</v>
      </c>
      <c r="B73" s="11">
        <v>13101</v>
      </c>
      <c r="C73" s="39" t="s">
        <v>836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47"/>
      <c r="R73" s="41"/>
      <c r="S73" s="1"/>
      <c r="T73" s="1"/>
      <c r="U73" s="1"/>
      <c r="V73" s="1"/>
      <c r="W73" s="1"/>
      <c r="X73" s="41"/>
      <c r="Y73" s="41"/>
      <c r="Z73" s="1">
        <v>0</v>
      </c>
      <c r="AA73" s="41">
        <v>0</v>
      </c>
      <c r="AB73" s="41">
        <f t="shared" si="63"/>
        <v>0</v>
      </c>
      <c r="AC73" s="1">
        <f t="shared" si="64"/>
        <v>0</v>
      </c>
      <c r="AD73" s="41">
        <v>0</v>
      </c>
      <c r="AE73" s="1">
        <f t="shared" si="65"/>
        <v>0</v>
      </c>
      <c r="AF73" s="1">
        <f t="shared" si="19"/>
        <v>0</v>
      </c>
    </row>
    <row r="74" spans="1:32" s="2" customFormat="1" outlineLevel="1">
      <c r="A74" s="11">
        <v>13300</v>
      </c>
      <c r="B74" s="11">
        <v>15000</v>
      </c>
      <c r="C74" s="39" t="s">
        <v>837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47"/>
      <c r="R74" s="41"/>
      <c r="S74" s="1"/>
      <c r="T74" s="1"/>
      <c r="U74" s="1"/>
      <c r="V74" s="1"/>
      <c r="W74" s="1"/>
      <c r="X74" s="41"/>
      <c r="Y74" s="41"/>
      <c r="Z74" s="1">
        <v>0</v>
      </c>
      <c r="AA74" s="41">
        <v>0</v>
      </c>
      <c r="AB74" s="41">
        <f t="shared" si="63"/>
        <v>0</v>
      </c>
      <c r="AC74" s="1">
        <f t="shared" si="64"/>
        <v>0</v>
      </c>
      <c r="AD74" s="41">
        <v>0</v>
      </c>
      <c r="AE74" s="1">
        <f t="shared" si="65"/>
        <v>0</v>
      </c>
      <c r="AF74" s="1">
        <f t="shared" si="19"/>
        <v>0</v>
      </c>
    </row>
    <row r="75" spans="1:32" s="2" customFormat="1" outlineLevel="1">
      <c r="A75" s="11">
        <v>13300</v>
      </c>
      <c r="B75" s="11">
        <v>15100</v>
      </c>
      <c r="C75" s="39" t="s">
        <v>838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47"/>
      <c r="R75" s="41"/>
      <c r="S75" s="1"/>
      <c r="T75" s="1"/>
      <c r="U75" s="1"/>
      <c r="V75" s="1"/>
      <c r="W75" s="1"/>
      <c r="X75" s="41"/>
      <c r="Y75" s="41"/>
      <c r="Z75" s="1">
        <v>0</v>
      </c>
      <c r="AA75" s="41">
        <v>5000</v>
      </c>
      <c r="AB75" s="41">
        <f t="shared" si="63"/>
        <v>5000</v>
      </c>
      <c r="AC75" s="1">
        <f t="shared" si="64"/>
        <v>5000</v>
      </c>
      <c r="AD75" s="41">
        <v>5000</v>
      </c>
      <c r="AE75" s="1">
        <f t="shared" si="65"/>
        <v>0</v>
      </c>
      <c r="AF75" s="1">
        <f t="shared" ref="AF75:AF83" si="66">AC75+AE75</f>
        <v>5000</v>
      </c>
    </row>
    <row r="76" spans="1:32" s="2" customFormat="1" outlineLevel="1">
      <c r="A76" s="11">
        <v>13300</v>
      </c>
      <c r="B76" s="60">
        <v>16000</v>
      </c>
      <c r="C76" s="56" t="s">
        <v>779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>
        <v>0</v>
      </c>
      <c r="U76" s="53">
        <v>0</v>
      </c>
      <c r="V76" s="53">
        <f t="shared" si="61"/>
        <v>0</v>
      </c>
      <c r="W76" s="53">
        <f t="shared" si="18"/>
        <v>0</v>
      </c>
      <c r="X76" s="41">
        <v>0</v>
      </c>
      <c r="Y76" s="41">
        <f t="shared" si="3"/>
        <v>0</v>
      </c>
      <c r="Z76" s="1">
        <f t="shared" si="4"/>
        <v>0</v>
      </c>
      <c r="AA76" s="41">
        <v>0</v>
      </c>
      <c r="AB76" s="41">
        <f t="shared" si="62"/>
        <v>0</v>
      </c>
      <c r="AC76" s="1">
        <f t="shared" si="6"/>
        <v>0</v>
      </c>
      <c r="AD76" s="41">
        <v>40570.94</v>
      </c>
      <c r="AE76" s="1">
        <f t="shared" si="65"/>
        <v>40570.94</v>
      </c>
      <c r="AF76" s="1">
        <f t="shared" si="66"/>
        <v>40570.94</v>
      </c>
    </row>
    <row r="77" spans="1:32" s="2" customFormat="1" outlineLevel="1">
      <c r="A77" s="11">
        <v>13300</v>
      </c>
      <c r="B77" s="11">
        <v>20300</v>
      </c>
      <c r="C77" s="42" t="s">
        <v>689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47">
        <v>0</v>
      </c>
      <c r="R77" s="3">
        <v>0</v>
      </c>
      <c r="S77" s="47">
        <v>15000</v>
      </c>
      <c r="T77" s="1">
        <f t="shared" si="38"/>
        <v>15000</v>
      </c>
      <c r="U77" s="1">
        <f t="shared" si="38"/>
        <v>15000</v>
      </c>
      <c r="V77" s="1">
        <f t="shared" si="61"/>
        <v>0</v>
      </c>
      <c r="W77" s="1">
        <f t="shared" si="18"/>
        <v>15000</v>
      </c>
      <c r="X77" s="41">
        <v>15000</v>
      </c>
      <c r="Y77" s="41">
        <f t="shared" si="3"/>
        <v>0</v>
      </c>
      <c r="Z77" s="1">
        <f t="shared" si="4"/>
        <v>15000</v>
      </c>
      <c r="AA77" s="41">
        <v>5000</v>
      </c>
      <c r="AB77" s="41">
        <f t="shared" si="62"/>
        <v>-10000</v>
      </c>
      <c r="AC77" s="1">
        <f t="shared" si="6"/>
        <v>5000</v>
      </c>
      <c r="AD77" s="41">
        <v>9000</v>
      </c>
      <c r="AE77" s="1">
        <f t="shared" si="65"/>
        <v>4000</v>
      </c>
      <c r="AF77" s="1">
        <f t="shared" si="66"/>
        <v>9000</v>
      </c>
    </row>
    <row r="78" spans="1:32" s="2" customFormat="1" outlineLevel="1">
      <c r="A78" s="11">
        <v>13300</v>
      </c>
      <c r="B78" s="11">
        <v>20400</v>
      </c>
      <c r="C78" s="42" t="s">
        <v>409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47"/>
      <c r="R78" s="3"/>
      <c r="S78" s="47"/>
      <c r="T78" s="1"/>
      <c r="U78" s="1"/>
      <c r="V78" s="1"/>
      <c r="W78" s="1"/>
      <c r="X78" s="41"/>
      <c r="Y78" s="41"/>
      <c r="Z78" s="1">
        <v>0</v>
      </c>
      <c r="AA78" s="41">
        <f>8574.2+12500</f>
        <v>21074.2</v>
      </c>
      <c r="AB78" s="41">
        <f t="shared" si="62"/>
        <v>21074.2</v>
      </c>
      <c r="AC78" s="1">
        <f t="shared" si="6"/>
        <v>21074.2</v>
      </c>
      <c r="AD78" s="41">
        <v>25000</v>
      </c>
      <c r="AE78" s="1">
        <f t="shared" si="65"/>
        <v>3925.7999999999993</v>
      </c>
      <c r="AF78" s="1">
        <f t="shared" si="66"/>
        <v>25000</v>
      </c>
    </row>
    <row r="79" spans="1:32" s="2" customFormat="1" outlineLevel="1">
      <c r="A79" s="11">
        <v>13300</v>
      </c>
      <c r="B79" s="11">
        <v>21300</v>
      </c>
      <c r="C79" s="39" t="s">
        <v>321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47">
        <v>0</v>
      </c>
      <c r="R79" s="3"/>
      <c r="S79" s="47">
        <v>15000</v>
      </c>
      <c r="T79" s="1">
        <f t="shared" si="38"/>
        <v>15000</v>
      </c>
      <c r="U79" s="1">
        <f t="shared" si="38"/>
        <v>15000</v>
      </c>
      <c r="V79" s="1">
        <f t="shared" si="61"/>
        <v>0</v>
      </c>
      <c r="W79" s="1">
        <f t="shared" si="18"/>
        <v>15000</v>
      </c>
      <c r="X79" s="41">
        <v>50000</v>
      </c>
      <c r="Y79" s="41">
        <f t="shared" ref="Y79:Y123" si="67">X79-W79</f>
        <v>35000</v>
      </c>
      <c r="Z79" s="1">
        <f t="shared" ref="Z79:Z123" si="68">W79+Y79</f>
        <v>50000</v>
      </c>
      <c r="AA79" s="41">
        <v>20000</v>
      </c>
      <c r="AB79" s="41">
        <f t="shared" si="62"/>
        <v>-30000</v>
      </c>
      <c r="AC79" s="1">
        <f t="shared" ref="AC79:AC83" si="69">Z79+AB79</f>
        <v>20000</v>
      </c>
      <c r="AD79" s="41">
        <v>15000</v>
      </c>
      <c r="AE79" s="1">
        <f t="shared" si="65"/>
        <v>-5000</v>
      </c>
      <c r="AF79" s="1">
        <f t="shared" si="66"/>
        <v>15000</v>
      </c>
    </row>
    <row r="80" spans="1:32" s="2" customFormat="1" outlineLevel="1">
      <c r="A80" s="11">
        <v>13300</v>
      </c>
      <c r="B80" s="11">
        <v>22103</v>
      </c>
      <c r="C80" s="42" t="s">
        <v>690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47">
        <v>0</v>
      </c>
      <c r="R80" s="3"/>
      <c r="S80" s="47">
        <v>5000</v>
      </c>
      <c r="T80" s="1">
        <f t="shared" si="38"/>
        <v>5000</v>
      </c>
      <c r="U80" s="1">
        <f t="shared" si="38"/>
        <v>5000</v>
      </c>
      <c r="V80" s="1">
        <f t="shared" si="61"/>
        <v>0</v>
      </c>
      <c r="W80" s="1">
        <f t="shared" si="18"/>
        <v>5000</v>
      </c>
      <c r="X80" s="41">
        <v>5000</v>
      </c>
      <c r="Y80" s="41">
        <f t="shared" si="67"/>
        <v>0</v>
      </c>
      <c r="Z80" s="1">
        <f t="shared" si="68"/>
        <v>5000</v>
      </c>
      <c r="AA80" s="41">
        <v>5000</v>
      </c>
      <c r="AB80" s="41">
        <f t="shared" si="62"/>
        <v>0</v>
      </c>
      <c r="AC80" s="1">
        <f t="shared" si="69"/>
        <v>5000</v>
      </c>
      <c r="AD80" s="41">
        <v>5000</v>
      </c>
      <c r="AE80" s="1">
        <f t="shared" si="65"/>
        <v>0</v>
      </c>
      <c r="AF80" s="1">
        <f t="shared" si="66"/>
        <v>5000</v>
      </c>
    </row>
    <row r="81" spans="1:32" s="2" customFormat="1" outlineLevel="1">
      <c r="A81" s="11">
        <v>13300</v>
      </c>
      <c r="B81" s="11">
        <v>22199</v>
      </c>
      <c r="C81" s="11" t="s">
        <v>232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7">
        <v>0</v>
      </c>
      <c r="R81" s="3"/>
      <c r="S81" s="47">
        <v>5000</v>
      </c>
      <c r="T81" s="1">
        <f t="shared" si="38"/>
        <v>5000</v>
      </c>
      <c r="U81" s="1">
        <v>30000</v>
      </c>
      <c r="V81" s="1">
        <f t="shared" si="61"/>
        <v>25000</v>
      </c>
      <c r="W81" s="1">
        <f t="shared" si="18"/>
        <v>30000</v>
      </c>
      <c r="X81" s="41">
        <v>30000</v>
      </c>
      <c r="Y81" s="41">
        <f t="shared" si="67"/>
        <v>0</v>
      </c>
      <c r="Z81" s="1">
        <f t="shared" si="68"/>
        <v>30000</v>
      </c>
      <c r="AA81" s="41">
        <v>55000</v>
      </c>
      <c r="AB81" s="41">
        <f t="shared" si="62"/>
        <v>25000</v>
      </c>
      <c r="AC81" s="1">
        <f t="shared" si="69"/>
        <v>55000</v>
      </c>
      <c r="AD81" s="41">
        <v>60000</v>
      </c>
      <c r="AE81" s="1">
        <f t="shared" si="65"/>
        <v>5000</v>
      </c>
      <c r="AF81" s="1">
        <f t="shared" si="66"/>
        <v>60000</v>
      </c>
    </row>
    <row r="82" spans="1:32" s="2" customFormat="1" outlineLevel="1">
      <c r="A82" s="11">
        <v>13300</v>
      </c>
      <c r="B82" s="11">
        <v>22699</v>
      </c>
      <c r="C82" s="42" t="s">
        <v>256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7">
        <v>0</v>
      </c>
      <c r="R82" s="3">
        <v>25135.74</v>
      </c>
      <c r="S82" s="47">
        <v>5000</v>
      </c>
      <c r="T82" s="1">
        <f t="shared" si="38"/>
        <v>5000</v>
      </c>
      <c r="U82" s="1">
        <v>5000</v>
      </c>
      <c r="V82" s="1">
        <f t="shared" si="61"/>
        <v>0</v>
      </c>
      <c r="W82" s="1">
        <f t="shared" si="18"/>
        <v>5000</v>
      </c>
      <c r="X82" s="41">
        <v>5000</v>
      </c>
      <c r="Y82" s="41">
        <f t="shared" si="67"/>
        <v>0</v>
      </c>
      <c r="Z82" s="1">
        <f t="shared" si="68"/>
        <v>5000</v>
      </c>
      <c r="AA82" s="41">
        <v>20000</v>
      </c>
      <c r="AB82" s="41">
        <f t="shared" si="62"/>
        <v>15000</v>
      </c>
      <c r="AC82" s="1">
        <f t="shared" si="69"/>
        <v>20000</v>
      </c>
      <c r="AD82" s="41">
        <v>15000</v>
      </c>
      <c r="AE82" s="1">
        <f t="shared" si="65"/>
        <v>-5000</v>
      </c>
      <c r="AF82" s="1">
        <f t="shared" si="66"/>
        <v>15000</v>
      </c>
    </row>
    <row r="83" spans="1:32" s="2" customFormat="1" outlineLevel="1">
      <c r="A83" s="11">
        <v>13300</v>
      </c>
      <c r="B83" s="11">
        <v>62300</v>
      </c>
      <c r="C83" s="42" t="s">
        <v>737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7"/>
      <c r="R83" s="3"/>
      <c r="S83" s="47"/>
      <c r="T83" s="1">
        <v>0</v>
      </c>
      <c r="U83" s="1">
        <f>20000+7000</f>
        <v>27000</v>
      </c>
      <c r="V83" s="1">
        <f t="shared" ref="V83" si="70">U83-T83</f>
        <v>27000</v>
      </c>
      <c r="W83" s="1">
        <f t="shared" ref="W83" si="71">T83+V83</f>
        <v>27000</v>
      </c>
      <c r="X83" s="41">
        <v>15000</v>
      </c>
      <c r="Y83" s="41">
        <f t="shared" si="67"/>
        <v>-12000</v>
      </c>
      <c r="Z83" s="1">
        <f t="shared" si="68"/>
        <v>15000</v>
      </c>
      <c r="AA83" s="41">
        <v>0</v>
      </c>
      <c r="AB83" s="41">
        <f t="shared" si="62"/>
        <v>-15000</v>
      </c>
      <c r="AC83" s="1">
        <f t="shared" si="69"/>
        <v>0</v>
      </c>
      <c r="AD83" s="41">
        <v>0</v>
      </c>
      <c r="AE83" s="1">
        <f t="shared" si="65"/>
        <v>0</v>
      </c>
      <c r="AF83" s="1">
        <f t="shared" si="66"/>
        <v>0</v>
      </c>
    </row>
    <row r="84" spans="1:32" s="2" customFormat="1" outlineLevel="1">
      <c r="A84" s="9" t="s">
        <v>688</v>
      </c>
      <c r="B84" s="9"/>
      <c r="C84" s="9" t="s">
        <v>687</v>
      </c>
      <c r="D84" s="8">
        <f t="shared" ref="D84:L84" si="72">SUBTOTAL(9,D44:D82)</f>
        <v>604270.13</v>
      </c>
      <c r="E84" s="8">
        <f t="shared" si="72"/>
        <v>606500</v>
      </c>
      <c r="F84" s="8">
        <f t="shared" si="72"/>
        <v>-2229.8700000000026</v>
      </c>
      <c r="G84" s="8">
        <f t="shared" si="72"/>
        <v>-13770.13</v>
      </c>
      <c r="H84" s="8">
        <f t="shared" si="72"/>
        <v>590500</v>
      </c>
      <c r="I84" s="8">
        <f t="shared" si="72"/>
        <v>45000</v>
      </c>
      <c r="J84" s="8">
        <f t="shared" si="72"/>
        <v>545500</v>
      </c>
      <c r="K84" s="8">
        <f t="shared" si="72"/>
        <v>15000</v>
      </c>
      <c r="L84" s="8">
        <f t="shared" si="72"/>
        <v>605500</v>
      </c>
      <c r="M84" s="8">
        <f>SUBTOTAL(9,M44:M82)</f>
        <v>-19000</v>
      </c>
      <c r="N84" s="8">
        <f>SUBTOTAL(9,N44:N82)</f>
        <v>586500</v>
      </c>
      <c r="O84" s="8">
        <f>SUBTOTAL(9,O44:O82)</f>
        <v>45000</v>
      </c>
      <c r="P84" s="8">
        <f>SUBTOTAL(9,P44:P82)</f>
        <v>-170000</v>
      </c>
      <c r="Q84" s="8">
        <f>SUBTOTAL(9,Q65:Q82)</f>
        <v>0</v>
      </c>
      <c r="R84" s="8"/>
      <c r="S84" s="8">
        <f>SUBTOTAL(9,S65:S82)</f>
        <v>165391.34</v>
      </c>
      <c r="T84" s="8">
        <f>SUBTOTAL(9,T65:T83)</f>
        <v>165391.34</v>
      </c>
      <c r="U84" s="8">
        <f t="shared" ref="U84:Y84" si="73">SUBTOTAL(9,U65:U83)</f>
        <v>215920.91</v>
      </c>
      <c r="V84" s="8">
        <f t="shared" si="73"/>
        <v>50529.569999999992</v>
      </c>
      <c r="W84" s="8">
        <f t="shared" si="73"/>
        <v>215920.91</v>
      </c>
      <c r="X84" s="8">
        <f t="shared" si="73"/>
        <v>240732.79999999999</v>
      </c>
      <c r="Y84" s="8">
        <f t="shared" si="73"/>
        <v>24811.890000000007</v>
      </c>
      <c r="Z84" s="8">
        <f>SUBTOTAL(9,Z65:Z83)</f>
        <v>240732.79999999999</v>
      </c>
      <c r="AA84" s="8">
        <f t="shared" ref="AA84:AB84" si="74">SUBTOTAL(9,AA65:AA83)</f>
        <v>253193.51</v>
      </c>
      <c r="AB84" s="8">
        <f t="shared" si="74"/>
        <v>12460.709999999995</v>
      </c>
      <c r="AC84" s="8">
        <f>SUBTOTAL(9,AC65:AC83)</f>
        <v>253193.51</v>
      </c>
      <c r="AD84" s="8">
        <f t="shared" ref="AD84:AF84" si="75">SUBTOTAL(9,AD65:AD83)</f>
        <v>298575.58</v>
      </c>
      <c r="AE84" s="8">
        <f t="shared" si="75"/>
        <v>45382.069999999992</v>
      </c>
      <c r="AF84" s="8">
        <f t="shared" si="75"/>
        <v>298575.58</v>
      </c>
    </row>
    <row r="85" spans="1:32" outlineLevel="2">
      <c r="A85" s="13">
        <v>13500</v>
      </c>
      <c r="B85" s="11">
        <v>20400</v>
      </c>
      <c r="C85" s="11" t="s">
        <v>269</v>
      </c>
      <c r="D85" s="7"/>
      <c r="E85" s="7"/>
      <c r="F85" s="7"/>
      <c r="G85" s="7"/>
      <c r="H85" s="7"/>
      <c r="I85" s="1"/>
      <c r="J85" s="1"/>
      <c r="K85" s="1"/>
      <c r="L85" s="1"/>
      <c r="N85" s="1">
        <v>0</v>
      </c>
      <c r="O85" s="1"/>
      <c r="P85" s="1">
        <v>12000</v>
      </c>
      <c r="Q85" s="1">
        <f t="shared" ref="Q85:Q94" si="76">N85+P85</f>
        <v>12000</v>
      </c>
      <c r="R85" s="1">
        <v>13238.76</v>
      </c>
      <c r="T85" s="1">
        <f t="shared" ref="T85:U94" si="77">Q85+S85</f>
        <v>12000</v>
      </c>
      <c r="U85" s="1">
        <v>14000</v>
      </c>
      <c r="V85" s="1">
        <f t="shared" ref="V85:V94" si="78">U85-T85</f>
        <v>2000</v>
      </c>
      <c r="W85" s="1">
        <f t="shared" ref="W85:W94" si="79">T85+V85</f>
        <v>14000</v>
      </c>
      <c r="X85" s="1">
        <v>14000</v>
      </c>
      <c r="Y85" s="41">
        <f t="shared" si="67"/>
        <v>0</v>
      </c>
      <c r="Z85" s="1">
        <f t="shared" si="68"/>
        <v>14000</v>
      </c>
      <c r="AA85" s="1">
        <v>7722.61</v>
      </c>
      <c r="AB85" s="41">
        <f t="shared" si="62"/>
        <v>-6277.39</v>
      </c>
      <c r="AC85" s="1">
        <f t="shared" ref="AC85:AC94" si="80">Z85+AB85</f>
        <v>7722.61</v>
      </c>
      <c r="AD85" s="41">
        <v>10000</v>
      </c>
      <c r="AE85" s="1">
        <f t="shared" ref="AE85:AE94" si="81">AD85-AC85</f>
        <v>2277.3900000000003</v>
      </c>
      <c r="AF85" s="1">
        <f t="shared" ref="AF85:AF94" si="82">AC85+AE85</f>
        <v>10000</v>
      </c>
    </row>
    <row r="86" spans="1:32" outlineLevel="2">
      <c r="A86" s="13">
        <v>13500</v>
      </c>
      <c r="B86" s="11">
        <v>21300</v>
      </c>
      <c r="C86" s="11" t="s">
        <v>310</v>
      </c>
      <c r="D86" s="7">
        <v>900</v>
      </c>
      <c r="E86" s="7"/>
      <c r="F86" s="7">
        <f t="shared" ref="F86:F122" si="83">D86-E86</f>
        <v>900</v>
      </c>
      <c r="G86" s="7"/>
      <c r="H86" s="7">
        <f t="shared" ref="H86:H122" si="84">D86+G86</f>
        <v>900</v>
      </c>
      <c r="I86" s="1"/>
      <c r="J86" s="1">
        <f t="shared" ref="J86:J94" si="85">H86-I86</f>
        <v>900</v>
      </c>
      <c r="K86" s="1"/>
      <c r="L86" s="1">
        <f t="shared" ref="L86:L94" si="86">H86+K86</f>
        <v>900</v>
      </c>
      <c r="N86" s="1">
        <f t="shared" ref="N86:N94" si="87">L86+M86</f>
        <v>900</v>
      </c>
      <c r="O86" s="1"/>
      <c r="Q86" s="1">
        <f t="shared" si="76"/>
        <v>900</v>
      </c>
      <c r="T86" s="1">
        <f t="shared" si="77"/>
        <v>900</v>
      </c>
      <c r="U86" s="1">
        <f t="shared" si="77"/>
        <v>900</v>
      </c>
      <c r="V86" s="1">
        <f t="shared" si="78"/>
        <v>0</v>
      </c>
      <c r="W86" s="1">
        <f t="shared" si="79"/>
        <v>900</v>
      </c>
      <c r="X86" s="1">
        <v>200</v>
      </c>
      <c r="Y86" s="41">
        <f t="shared" si="67"/>
        <v>-700</v>
      </c>
      <c r="Z86" s="1">
        <f t="shared" si="68"/>
        <v>200</v>
      </c>
      <c r="AA86" s="1">
        <v>200</v>
      </c>
      <c r="AB86" s="41">
        <f t="shared" si="62"/>
        <v>0</v>
      </c>
      <c r="AC86" s="1">
        <f t="shared" si="80"/>
        <v>200</v>
      </c>
      <c r="AD86" s="41">
        <v>200</v>
      </c>
      <c r="AE86" s="1">
        <f t="shared" si="81"/>
        <v>0</v>
      </c>
      <c r="AF86" s="1">
        <f t="shared" si="82"/>
        <v>200</v>
      </c>
    </row>
    <row r="87" spans="1:32" outlineLevel="2">
      <c r="A87" s="13">
        <v>13500</v>
      </c>
      <c r="B87" s="11">
        <v>21400</v>
      </c>
      <c r="C87" s="42" t="s">
        <v>780</v>
      </c>
      <c r="D87" s="7"/>
      <c r="E87" s="7"/>
      <c r="F87" s="7"/>
      <c r="G87" s="7"/>
      <c r="H87" s="7"/>
      <c r="I87" s="1"/>
      <c r="J87" s="1"/>
      <c r="K87" s="1"/>
      <c r="L87" s="1"/>
      <c r="N87" s="1"/>
      <c r="O87" s="1"/>
      <c r="T87" s="1"/>
      <c r="V87" s="1"/>
      <c r="W87" s="1">
        <v>0</v>
      </c>
      <c r="X87" s="1">
        <v>1000</v>
      </c>
      <c r="Y87" s="41">
        <f t="shared" ref="Y87" si="88">X87-W87</f>
        <v>1000</v>
      </c>
      <c r="Z87" s="1">
        <f t="shared" ref="Z87" si="89">W87+Y87</f>
        <v>1000</v>
      </c>
      <c r="AA87" s="1">
        <v>1000</v>
      </c>
      <c r="AB87" s="41">
        <f t="shared" si="62"/>
        <v>0</v>
      </c>
      <c r="AC87" s="1">
        <f t="shared" si="80"/>
        <v>1000</v>
      </c>
      <c r="AD87" s="41">
        <v>1000</v>
      </c>
      <c r="AE87" s="1">
        <f t="shared" si="81"/>
        <v>0</v>
      </c>
      <c r="AF87" s="1">
        <f t="shared" si="82"/>
        <v>1000</v>
      </c>
    </row>
    <row r="88" spans="1:32" outlineLevel="2">
      <c r="A88" s="13">
        <v>13500</v>
      </c>
      <c r="B88" s="11">
        <v>22000</v>
      </c>
      <c r="C88" s="42" t="s">
        <v>280</v>
      </c>
      <c r="D88" s="7">
        <v>300</v>
      </c>
      <c r="E88" s="7"/>
      <c r="F88" s="7">
        <f t="shared" si="83"/>
        <v>300</v>
      </c>
      <c r="G88" s="7"/>
      <c r="H88" s="7">
        <f t="shared" si="84"/>
        <v>300</v>
      </c>
      <c r="I88" s="1"/>
      <c r="J88" s="1">
        <f t="shared" si="85"/>
        <v>300</v>
      </c>
      <c r="K88" s="1"/>
      <c r="L88" s="1">
        <f t="shared" si="86"/>
        <v>300</v>
      </c>
      <c r="N88" s="1">
        <f t="shared" si="87"/>
        <v>300</v>
      </c>
      <c r="O88" s="1"/>
      <c r="Q88" s="1">
        <f t="shared" si="76"/>
        <v>300</v>
      </c>
      <c r="T88" s="1">
        <f t="shared" si="77"/>
        <v>300</v>
      </c>
      <c r="U88" s="1">
        <f t="shared" si="77"/>
        <v>300</v>
      </c>
      <c r="V88" s="1">
        <f t="shared" si="78"/>
        <v>0</v>
      </c>
      <c r="W88" s="1">
        <f t="shared" si="79"/>
        <v>300</v>
      </c>
      <c r="X88" s="1">
        <v>100</v>
      </c>
      <c r="Y88" s="41">
        <f t="shared" si="67"/>
        <v>-200</v>
      </c>
      <c r="Z88" s="1">
        <f t="shared" si="68"/>
        <v>100</v>
      </c>
      <c r="AA88" s="1">
        <v>100</v>
      </c>
      <c r="AB88" s="41">
        <f t="shared" si="62"/>
        <v>0</v>
      </c>
      <c r="AC88" s="1">
        <f t="shared" si="80"/>
        <v>100</v>
      </c>
      <c r="AD88" s="41">
        <v>100</v>
      </c>
      <c r="AE88" s="1">
        <f t="shared" si="81"/>
        <v>0</v>
      </c>
      <c r="AF88" s="1">
        <f t="shared" si="82"/>
        <v>100</v>
      </c>
    </row>
    <row r="89" spans="1:32" outlineLevel="2">
      <c r="A89" s="13">
        <v>13500</v>
      </c>
      <c r="B89" s="11">
        <v>22001</v>
      </c>
      <c r="C89" s="11" t="s">
        <v>311</v>
      </c>
      <c r="D89" s="7">
        <v>800</v>
      </c>
      <c r="E89" s="7"/>
      <c r="F89" s="7">
        <f t="shared" si="83"/>
        <v>800</v>
      </c>
      <c r="G89" s="7"/>
      <c r="H89" s="7">
        <f t="shared" si="84"/>
        <v>800</v>
      </c>
      <c r="I89" s="1"/>
      <c r="J89" s="1">
        <f t="shared" si="85"/>
        <v>800</v>
      </c>
      <c r="K89" s="1"/>
      <c r="L89" s="1">
        <f t="shared" si="86"/>
        <v>800</v>
      </c>
      <c r="N89" s="1">
        <f t="shared" si="87"/>
        <v>800</v>
      </c>
      <c r="O89" s="1"/>
      <c r="Q89" s="1">
        <f t="shared" si="76"/>
        <v>800</v>
      </c>
      <c r="T89" s="1">
        <f t="shared" si="77"/>
        <v>800</v>
      </c>
      <c r="U89" s="1">
        <f t="shared" si="77"/>
        <v>800</v>
      </c>
      <c r="V89" s="1">
        <f t="shared" si="78"/>
        <v>0</v>
      </c>
      <c r="W89" s="1">
        <f t="shared" si="79"/>
        <v>800</v>
      </c>
      <c r="X89" s="1">
        <v>300</v>
      </c>
      <c r="Y89" s="41">
        <f t="shared" si="67"/>
        <v>-500</v>
      </c>
      <c r="Z89" s="1">
        <f t="shared" si="68"/>
        <v>300</v>
      </c>
      <c r="AA89" s="1">
        <v>300</v>
      </c>
      <c r="AB89" s="41">
        <f t="shared" si="62"/>
        <v>0</v>
      </c>
      <c r="AC89" s="1">
        <f t="shared" si="80"/>
        <v>300</v>
      </c>
      <c r="AD89" s="41">
        <v>300</v>
      </c>
      <c r="AE89" s="1">
        <f t="shared" si="81"/>
        <v>0</v>
      </c>
      <c r="AF89" s="1">
        <f t="shared" si="82"/>
        <v>300</v>
      </c>
    </row>
    <row r="90" spans="1:32" outlineLevel="2">
      <c r="A90" s="13">
        <v>13500</v>
      </c>
      <c r="B90" s="11">
        <v>22103</v>
      </c>
      <c r="C90" s="11" t="s">
        <v>312</v>
      </c>
      <c r="D90" s="7">
        <v>200</v>
      </c>
      <c r="E90" s="7"/>
      <c r="F90" s="7">
        <f t="shared" si="83"/>
        <v>200</v>
      </c>
      <c r="G90" s="7"/>
      <c r="H90" s="7">
        <f t="shared" si="84"/>
        <v>200</v>
      </c>
      <c r="I90" s="1"/>
      <c r="J90" s="1">
        <f t="shared" si="85"/>
        <v>200</v>
      </c>
      <c r="K90" s="1"/>
      <c r="L90" s="1">
        <f t="shared" si="86"/>
        <v>200</v>
      </c>
      <c r="N90" s="1">
        <f t="shared" si="87"/>
        <v>200</v>
      </c>
      <c r="O90" s="1"/>
      <c r="Q90" s="1">
        <f t="shared" si="76"/>
        <v>200</v>
      </c>
      <c r="S90" s="1">
        <v>2000</v>
      </c>
      <c r="T90" s="1">
        <f t="shared" si="77"/>
        <v>2200</v>
      </c>
      <c r="U90" s="1">
        <f t="shared" si="77"/>
        <v>2200</v>
      </c>
      <c r="V90" s="1">
        <f t="shared" si="78"/>
        <v>0</v>
      </c>
      <c r="W90" s="1">
        <f t="shared" si="79"/>
        <v>2200</v>
      </c>
      <c r="X90" s="1">
        <v>2300</v>
      </c>
      <c r="Y90" s="41">
        <f t="shared" si="67"/>
        <v>100</v>
      </c>
      <c r="Z90" s="1">
        <f t="shared" si="68"/>
        <v>2300</v>
      </c>
      <c r="AA90" s="1">
        <v>2300</v>
      </c>
      <c r="AB90" s="41">
        <f t="shared" si="62"/>
        <v>0</v>
      </c>
      <c r="AC90" s="1">
        <f t="shared" si="80"/>
        <v>2300</v>
      </c>
      <c r="AD90" s="41">
        <v>4000</v>
      </c>
      <c r="AE90" s="1">
        <f t="shared" si="81"/>
        <v>1700</v>
      </c>
      <c r="AF90" s="1">
        <f t="shared" si="82"/>
        <v>4000</v>
      </c>
    </row>
    <row r="91" spans="1:32" outlineLevel="2">
      <c r="A91" s="13">
        <v>13500</v>
      </c>
      <c r="B91" s="11">
        <v>22104</v>
      </c>
      <c r="C91" s="11" t="s">
        <v>313</v>
      </c>
      <c r="D91" s="7">
        <v>3000</v>
      </c>
      <c r="E91" s="7"/>
      <c r="F91" s="7">
        <f t="shared" si="83"/>
        <v>3000</v>
      </c>
      <c r="G91" s="7"/>
      <c r="H91" s="7">
        <f t="shared" si="84"/>
        <v>3000</v>
      </c>
      <c r="I91" s="1"/>
      <c r="J91" s="1">
        <f t="shared" si="85"/>
        <v>3000</v>
      </c>
      <c r="K91" s="1"/>
      <c r="L91" s="1">
        <f t="shared" si="86"/>
        <v>3000</v>
      </c>
      <c r="N91" s="1">
        <f t="shared" si="87"/>
        <v>3000</v>
      </c>
      <c r="O91" s="1"/>
      <c r="Q91" s="1">
        <f t="shared" si="76"/>
        <v>3000</v>
      </c>
      <c r="T91" s="1">
        <f t="shared" si="77"/>
        <v>3000</v>
      </c>
      <c r="U91" s="1">
        <v>9000</v>
      </c>
      <c r="V91" s="1">
        <f t="shared" si="78"/>
        <v>6000</v>
      </c>
      <c r="W91" s="1">
        <f t="shared" si="79"/>
        <v>9000</v>
      </c>
      <c r="X91" s="1">
        <v>12000</v>
      </c>
      <c r="Y91" s="41">
        <f t="shared" si="67"/>
        <v>3000</v>
      </c>
      <c r="Z91" s="1">
        <f t="shared" si="68"/>
        <v>12000</v>
      </c>
      <c r="AA91" s="1">
        <v>12000</v>
      </c>
      <c r="AB91" s="41">
        <f t="shared" si="62"/>
        <v>0</v>
      </c>
      <c r="AC91" s="1">
        <f t="shared" si="80"/>
        <v>12000</v>
      </c>
      <c r="AD91" s="41">
        <v>12000</v>
      </c>
      <c r="AE91" s="1">
        <f t="shared" si="81"/>
        <v>0</v>
      </c>
      <c r="AF91" s="1">
        <f t="shared" si="82"/>
        <v>12000</v>
      </c>
    </row>
    <row r="92" spans="1:32" outlineLevel="2">
      <c r="A92" s="13">
        <v>13500</v>
      </c>
      <c r="B92" s="11">
        <v>22199</v>
      </c>
      <c r="C92" s="11" t="s">
        <v>314</v>
      </c>
      <c r="D92" s="7">
        <v>2280</v>
      </c>
      <c r="E92" s="7"/>
      <c r="F92" s="7">
        <f t="shared" si="83"/>
        <v>2280</v>
      </c>
      <c r="G92" s="7">
        <v>-280</v>
      </c>
      <c r="H92" s="7">
        <f t="shared" si="84"/>
        <v>2000</v>
      </c>
      <c r="I92" s="1"/>
      <c r="J92" s="1">
        <f t="shared" si="85"/>
        <v>2000</v>
      </c>
      <c r="K92" s="1"/>
      <c r="L92" s="1">
        <f t="shared" si="86"/>
        <v>2000</v>
      </c>
      <c r="N92" s="1">
        <f t="shared" si="87"/>
        <v>2000</v>
      </c>
      <c r="O92" s="1"/>
      <c r="Q92" s="1">
        <f t="shared" si="76"/>
        <v>2000</v>
      </c>
      <c r="T92" s="1">
        <f t="shared" si="77"/>
        <v>2000</v>
      </c>
      <c r="U92" s="1">
        <f t="shared" si="77"/>
        <v>2000</v>
      </c>
      <c r="V92" s="1">
        <f t="shared" si="78"/>
        <v>0</v>
      </c>
      <c r="W92" s="1">
        <f t="shared" si="79"/>
        <v>2000</v>
      </c>
      <c r="X92" s="1">
        <v>2000</v>
      </c>
      <c r="Y92" s="41">
        <f t="shared" si="67"/>
        <v>0</v>
      </c>
      <c r="Z92" s="1">
        <f t="shared" si="68"/>
        <v>2000</v>
      </c>
      <c r="AA92" s="1">
        <v>2000</v>
      </c>
      <c r="AB92" s="41">
        <f t="shared" si="62"/>
        <v>0</v>
      </c>
      <c r="AC92" s="1">
        <f t="shared" si="80"/>
        <v>2000</v>
      </c>
      <c r="AD92" s="41">
        <v>1000</v>
      </c>
      <c r="AE92" s="1">
        <f t="shared" si="81"/>
        <v>-1000</v>
      </c>
      <c r="AF92" s="1">
        <f t="shared" si="82"/>
        <v>1000</v>
      </c>
    </row>
    <row r="93" spans="1:32" outlineLevel="2">
      <c r="A93" s="13">
        <v>13500</v>
      </c>
      <c r="B93" s="11">
        <v>22400</v>
      </c>
      <c r="C93" s="11" t="s">
        <v>315</v>
      </c>
      <c r="D93" s="7">
        <v>3600</v>
      </c>
      <c r="E93" s="7"/>
      <c r="F93" s="7">
        <f t="shared" si="83"/>
        <v>3600</v>
      </c>
      <c r="G93" s="7"/>
      <c r="H93" s="7">
        <f t="shared" si="84"/>
        <v>3600</v>
      </c>
      <c r="I93" s="1"/>
      <c r="J93" s="1">
        <f t="shared" si="85"/>
        <v>3600</v>
      </c>
      <c r="K93" s="1"/>
      <c r="L93" s="1">
        <f t="shared" si="86"/>
        <v>3600</v>
      </c>
      <c r="N93" s="1">
        <f t="shared" si="87"/>
        <v>3600</v>
      </c>
      <c r="O93" s="1"/>
      <c r="Q93" s="1">
        <f t="shared" si="76"/>
        <v>3600</v>
      </c>
      <c r="S93" s="1">
        <v>-1500</v>
      </c>
      <c r="T93" s="1">
        <f t="shared" si="77"/>
        <v>2100</v>
      </c>
      <c r="U93" s="1">
        <f t="shared" si="77"/>
        <v>2100</v>
      </c>
      <c r="V93" s="1">
        <f t="shared" si="78"/>
        <v>0</v>
      </c>
      <c r="W93" s="1">
        <f t="shared" si="79"/>
        <v>2100</v>
      </c>
      <c r="X93" s="1">
        <v>2100</v>
      </c>
      <c r="Y93" s="41">
        <f t="shared" si="67"/>
        <v>0</v>
      </c>
      <c r="Z93" s="1">
        <f t="shared" si="68"/>
        <v>2100</v>
      </c>
      <c r="AA93" s="1">
        <v>2100</v>
      </c>
      <c r="AB93" s="41">
        <f t="shared" si="62"/>
        <v>0</v>
      </c>
      <c r="AC93" s="1">
        <f t="shared" si="80"/>
        <v>2100</v>
      </c>
      <c r="AD93" s="41">
        <v>2000</v>
      </c>
      <c r="AE93" s="1">
        <f t="shared" si="81"/>
        <v>-100</v>
      </c>
      <c r="AF93" s="1">
        <f t="shared" si="82"/>
        <v>2000</v>
      </c>
    </row>
    <row r="94" spans="1:32" outlineLevel="2">
      <c r="A94" s="13">
        <v>13500</v>
      </c>
      <c r="B94" s="11">
        <v>22699</v>
      </c>
      <c r="C94" s="11" t="s">
        <v>316</v>
      </c>
      <c r="D94" s="7">
        <v>5000</v>
      </c>
      <c r="E94" s="7"/>
      <c r="F94" s="7">
        <f t="shared" si="83"/>
        <v>5000</v>
      </c>
      <c r="G94" s="7"/>
      <c r="H94" s="7">
        <f t="shared" si="84"/>
        <v>5000</v>
      </c>
      <c r="I94" s="1"/>
      <c r="J94" s="1">
        <f t="shared" si="85"/>
        <v>5000</v>
      </c>
      <c r="K94" s="1"/>
      <c r="L94" s="1">
        <f t="shared" si="86"/>
        <v>5000</v>
      </c>
      <c r="M94" s="7">
        <v>15000</v>
      </c>
      <c r="N94" s="1">
        <f t="shared" si="87"/>
        <v>20000</v>
      </c>
      <c r="O94" s="1"/>
      <c r="P94" s="1">
        <v>-7000</v>
      </c>
      <c r="Q94" s="1">
        <f t="shared" si="76"/>
        <v>13000</v>
      </c>
      <c r="S94" s="1">
        <v>3000</v>
      </c>
      <c r="T94" s="1">
        <f t="shared" si="77"/>
        <v>16000</v>
      </c>
      <c r="U94" s="1">
        <f t="shared" si="77"/>
        <v>16000</v>
      </c>
      <c r="V94" s="1">
        <f t="shared" si="78"/>
        <v>0</v>
      </c>
      <c r="W94" s="1">
        <f t="shared" si="79"/>
        <v>16000</v>
      </c>
      <c r="X94" s="1">
        <v>15000</v>
      </c>
      <c r="Y94" s="41">
        <f t="shared" si="67"/>
        <v>-1000</v>
      </c>
      <c r="Z94" s="1">
        <f t="shared" si="68"/>
        <v>15000</v>
      </c>
      <c r="AA94" s="1">
        <v>15000</v>
      </c>
      <c r="AB94" s="41">
        <f t="shared" si="62"/>
        <v>0</v>
      </c>
      <c r="AC94" s="1">
        <f t="shared" si="80"/>
        <v>15000</v>
      </c>
      <c r="AD94" s="41">
        <v>15000</v>
      </c>
      <c r="AE94" s="1">
        <f t="shared" si="81"/>
        <v>0</v>
      </c>
      <c r="AF94" s="1">
        <f t="shared" si="82"/>
        <v>15000</v>
      </c>
    </row>
    <row r="95" spans="1:32" s="2" customFormat="1" outlineLevel="1">
      <c r="A95" s="9" t="s">
        <v>3</v>
      </c>
      <c r="B95" s="9"/>
      <c r="C95" s="9" t="s">
        <v>30</v>
      </c>
      <c r="D95" s="8">
        <f t="shared" ref="D95:Q95" si="90">SUBTOTAL(9,D85:D94)</f>
        <v>16080</v>
      </c>
      <c r="E95" s="8">
        <f t="shared" si="90"/>
        <v>0</v>
      </c>
      <c r="F95" s="8">
        <f t="shared" si="90"/>
        <v>16080</v>
      </c>
      <c r="G95" s="8">
        <f t="shared" si="90"/>
        <v>-280</v>
      </c>
      <c r="H95" s="8">
        <f t="shared" si="90"/>
        <v>15800</v>
      </c>
      <c r="I95" s="8">
        <f t="shared" si="90"/>
        <v>0</v>
      </c>
      <c r="J95" s="8">
        <f t="shared" si="90"/>
        <v>15800</v>
      </c>
      <c r="K95" s="8">
        <f t="shared" si="90"/>
        <v>0</v>
      </c>
      <c r="L95" s="8">
        <f t="shared" si="90"/>
        <v>15800</v>
      </c>
      <c r="M95" s="8">
        <f t="shared" si="90"/>
        <v>15000</v>
      </c>
      <c r="N95" s="8">
        <f t="shared" si="90"/>
        <v>30800</v>
      </c>
      <c r="O95" s="8">
        <f t="shared" si="90"/>
        <v>0</v>
      </c>
      <c r="P95" s="8">
        <f t="shared" si="90"/>
        <v>5000</v>
      </c>
      <c r="Q95" s="8">
        <f t="shared" si="90"/>
        <v>35800</v>
      </c>
      <c r="R95" s="3"/>
      <c r="S95" s="8">
        <f t="shared" ref="S95:AB95" si="91">SUBTOTAL(9,S85:S94)</f>
        <v>3500</v>
      </c>
      <c r="T95" s="8">
        <f t="shared" si="91"/>
        <v>39300</v>
      </c>
      <c r="U95" s="8">
        <f t="shared" si="91"/>
        <v>47300</v>
      </c>
      <c r="V95" s="8">
        <f t="shared" si="91"/>
        <v>8000</v>
      </c>
      <c r="W95" s="8">
        <f t="shared" si="91"/>
        <v>47300</v>
      </c>
      <c r="X95" s="8">
        <f t="shared" si="91"/>
        <v>49000</v>
      </c>
      <c r="Y95" s="8">
        <f t="shared" si="91"/>
        <v>1700</v>
      </c>
      <c r="Z95" s="8">
        <f t="shared" si="91"/>
        <v>49000</v>
      </c>
      <c r="AA95" s="8">
        <f t="shared" si="91"/>
        <v>42722.61</v>
      </c>
      <c r="AB95" s="8">
        <f t="shared" si="91"/>
        <v>-6277.39</v>
      </c>
      <c r="AC95" s="8">
        <f>SUBTOTAL(9,AC85:AC94)</f>
        <v>42722.61</v>
      </c>
      <c r="AD95" s="8">
        <f t="shared" ref="AD95:AF95" si="92">SUBTOTAL(9,AD85:AD94)</f>
        <v>45600</v>
      </c>
      <c r="AE95" s="8">
        <f t="shared" si="92"/>
        <v>2877.3900000000003</v>
      </c>
      <c r="AF95" s="8">
        <f t="shared" si="92"/>
        <v>45600</v>
      </c>
    </row>
    <row r="96" spans="1:32" outlineLevel="2">
      <c r="A96" s="11">
        <v>15100</v>
      </c>
      <c r="B96" s="11">
        <v>12000</v>
      </c>
      <c r="C96" s="11" t="s">
        <v>155</v>
      </c>
      <c r="D96" s="7">
        <v>693775.12</v>
      </c>
      <c r="E96" s="7">
        <v>175960.05</v>
      </c>
      <c r="F96" s="7">
        <f>D96-E96</f>
        <v>517815.07</v>
      </c>
      <c r="G96" s="7">
        <v>-517815.07</v>
      </c>
      <c r="H96" s="7">
        <f>D96+G96</f>
        <v>175960.05</v>
      </c>
      <c r="I96" s="1">
        <v>73386.600000000006</v>
      </c>
      <c r="J96" s="1">
        <f>H96-I96</f>
        <v>102573.44999999998</v>
      </c>
      <c r="K96" s="1">
        <v>-102573.45</v>
      </c>
      <c r="L96" s="1">
        <f>H96+K96</f>
        <v>73386.599999999991</v>
      </c>
      <c r="M96" s="7">
        <f>80725.26-L96</f>
        <v>7338.6600000000035</v>
      </c>
      <c r="N96" s="1">
        <f t="shared" ref="N96:N122" si="93">L96+M96</f>
        <v>80725.259999999995</v>
      </c>
      <c r="O96" s="1">
        <v>73386.600000000006</v>
      </c>
      <c r="P96" s="1">
        <f t="shared" ref="P96:P108" si="94">O96-N96</f>
        <v>-7338.6599999999889</v>
      </c>
      <c r="Q96" s="1">
        <f t="shared" ref="Q96:Q122" si="95">N96+P96</f>
        <v>73386.600000000006</v>
      </c>
      <c r="R96" s="1">
        <v>73386.600000000006</v>
      </c>
      <c r="S96" s="1">
        <f t="shared" ref="S96:S108" si="96">R96-Q96</f>
        <v>0</v>
      </c>
      <c r="T96" s="1">
        <f t="shared" ref="T96:U122" si="97">Q96+S96</f>
        <v>73386.600000000006</v>
      </c>
      <c r="U96" s="1">
        <v>87214.54</v>
      </c>
      <c r="V96" s="1">
        <f t="shared" ref="V96:V123" si="98">U96-T96</f>
        <v>13827.939999999988</v>
      </c>
      <c r="W96" s="1">
        <f t="shared" ref="W96:W123" si="99">T96+V96</f>
        <v>87214.54</v>
      </c>
      <c r="X96" s="1">
        <v>80958.740000000005</v>
      </c>
      <c r="Y96" s="41">
        <f t="shared" si="67"/>
        <v>-6255.7999999999884</v>
      </c>
      <c r="Z96" s="1">
        <f t="shared" si="68"/>
        <v>80958.740000000005</v>
      </c>
      <c r="AA96" s="1">
        <v>76258.38</v>
      </c>
      <c r="AB96" s="1">
        <f>AA96-Z96</f>
        <v>-4700.3600000000006</v>
      </c>
      <c r="AC96" s="1">
        <f t="shared" ref="AC96:AC131" si="100">Z96+AB96</f>
        <v>76258.38</v>
      </c>
      <c r="AD96" s="41">
        <v>60788.6</v>
      </c>
      <c r="AE96" s="1">
        <f t="shared" ref="AE96:AE152" si="101">AD96-AC96</f>
        <v>-15469.780000000006</v>
      </c>
      <c r="AF96" s="1">
        <f t="shared" ref="AF96:AF131" si="102">AC96+AE96</f>
        <v>60788.6</v>
      </c>
    </row>
    <row r="97" spans="1:32" outlineLevel="2">
      <c r="A97" s="11">
        <v>15100</v>
      </c>
      <c r="B97" s="11">
        <v>12001</v>
      </c>
      <c r="C97" s="11" t="s">
        <v>156</v>
      </c>
      <c r="D97" s="7">
        <v>0</v>
      </c>
      <c r="E97" s="7">
        <v>115547.2</v>
      </c>
      <c r="F97" s="7">
        <f>D97-E97</f>
        <v>-115547.2</v>
      </c>
      <c r="G97" s="7">
        <v>115547.2</v>
      </c>
      <c r="H97" s="7">
        <f>D97+G97</f>
        <v>115547.2</v>
      </c>
      <c r="I97" s="1">
        <v>51626.080000000002</v>
      </c>
      <c r="J97" s="1">
        <f t="shared" ref="J97:J122" si="103">H97-I97</f>
        <v>63921.119999999995</v>
      </c>
      <c r="K97" s="1">
        <v>-63921.120000000003</v>
      </c>
      <c r="L97" s="1">
        <f t="shared" ref="L97:L122" si="104">H97+K97</f>
        <v>51626.079999999994</v>
      </c>
      <c r="M97" s="7">
        <v>0</v>
      </c>
      <c r="N97" s="1">
        <f t="shared" si="93"/>
        <v>51626.079999999994</v>
      </c>
      <c r="O97" s="1">
        <v>53426.92</v>
      </c>
      <c r="P97" s="1">
        <f t="shared" si="94"/>
        <v>1800.8400000000038</v>
      </c>
      <c r="Q97" s="1">
        <f t="shared" si="95"/>
        <v>53426.92</v>
      </c>
      <c r="R97" s="1">
        <v>64532.6</v>
      </c>
      <c r="S97" s="1">
        <f t="shared" si="96"/>
        <v>11105.68</v>
      </c>
      <c r="T97" s="1">
        <f t="shared" si="97"/>
        <v>64532.6</v>
      </c>
      <c r="U97" s="1">
        <v>64532.6</v>
      </c>
      <c r="V97" s="1">
        <f t="shared" si="98"/>
        <v>0</v>
      </c>
      <c r="W97" s="1">
        <f t="shared" si="99"/>
        <v>64532.6</v>
      </c>
      <c r="X97" s="1">
        <v>57312.75</v>
      </c>
      <c r="Y97" s="41">
        <f t="shared" si="67"/>
        <v>-7219.8499999999985</v>
      </c>
      <c r="Z97" s="1">
        <f t="shared" si="68"/>
        <v>57312.75</v>
      </c>
      <c r="AA97" s="1">
        <v>65829.77</v>
      </c>
      <c r="AB97" s="1">
        <f t="shared" ref="AB97:AB136" si="105">AA97-Z97</f>
        <v>8517.0200000000041</v>
      </c>
      <c r="AC97" s="1">
        <f t="shared" si="100"/>
        <v>65829.77</v>
      </c>
      <c r="AD97" s="41">
        <v>80181</v>
      </c>
      <c r="AE97" s="1">
        <f t="shared" si="101"/>
        <v>14351.229999999996</v>
      </c>
      <c r="AF97" s="1">
        <f t="shared" si="102"/>
        <v>80181</v>
      </c>
    </row>
    <row r="98" spans="1:32" outlineLevel="2">
      <c r="A98" s="11">
        <v>15100</v>
      </c>
      <c r="B98" s="11">
        <v>12003</v>
      </c>
      <c r="C98" s="11" t="s">
        <v>157</v>
      </c>
      <c r="D98" s="7">
        <v>0</v>
      </c>
      <c r="E98" s="7">
        <v>160688.35</v>
      </c>
      <c r="F98" s="7">
        <f t="shared" ref="F98:F104" si="106">D98-E98</f>
        <v>-160688.35</v>
      </c>
      <c r="G98" s="7">
        <v>160688.35</v>
      </c>
      <c r="H98" s="7">
        <f t="shared" ref="H98:H104" si="107">D98+G98</f>
        <v>160688.35</v>
      </c>
      <c r="I98" s="1">
        <v>138387.76</v>
      </c>
      <c r="J98" s="1">
        <f t="shared" si="103"/>
        <v>22300.589999999997</v>
      </c>
      <c r="K98" s="1">
        <v>-22300.59</v>
      </c>
      <c r="L98" s="1">
        <f t="shared" si="104"/>
        <v>138387.76</v>
      </c>
      <c r="M98" s="7">
        <f>118618.08-L98</f>
        <v>-19769.680000000008</v>
      </c>
      <c r="N98" s="1">
        <f t="shared" si="93"/>
        <v>118618.08</v>
      </c>
      <c r="O98" s="1">
        <v>108733.24</v>
      </c>
      <c r="P98" s="1">
        <f t="shared" si="94"/>
        <v>-9884.8399999999965</v>
      </c>
      <c r="Q98" s="1">
        <f t="shared" si="95"/>
        <v>108733.24</v>
      </c>
      <c r="R98" s="1">
        <v>98848.4</v>
      </c>
      <c r="S98" s="1">
        <f t="shared" si="96"/>
        <v>-9884.8400000000111</v>
      </c>
      <c r="T98" s="1">
        <f t="shared" si="97"/>
        <v>98848.4</v>
      </c>
      <c r="U98" s="1">
        <v>138387.76</v>
      </c>
      <c r="V98" s="1">
        <f t="shared" si="98"/>
        <v>39539.360000000015</v>
      </c>
      <c r="W98" s="1">
        <f t="shared" si="99"/>
        <v>138387.76</v>
      </c>
      <c r="X98" s="1">
        <v>148256.51</v>
      </c>
      <c r="Y98" s="41">
        <f t="shared" si="67"/>
        <v>9868.75</v>
      </c>
      <c r="Z98" s="1">
        <f t="shared" si="68"/>
        <v>148256.51</v>
      </c>
      <c r="AA98" s="1">
        <v>122274.22</v>
      </c>
      <c r="AB98" s="1">
        <f t="shared" si="105"/>
        <v>-25982.290000000008</v>
      </c>
      <c r="AC98" s="1">
        <f t="shared" si="100"/>
        <v>122274.22</v>
      </c>
      <c r="AD98" s="41">
        <v>112585.11</v>
      </c>
      <c r="AE98" s="1">
        <f t="shared" si="101"/>
        <v>-9689.11</v>
      </c>
      <c r="AF98" s="1">
        <f t="shared" si="102"/>
        <v>112585.11</v>
      </c>
    </row>
    <row r="99" spans="1:32" outlineLevel="2">
      <c r="A99" s="11">
        <v>15100</v>
      </c>
      <c r="B99" s="11">
        <v>12004</v>
      </c>
      <c r="C99" s="11" t="s">
        <v>158</v>
      </c>
      <c r="D99" s="7">
        <v>0</v>
      </c>
      <c r="E99" s="7">
        <v>132389.79999999999</v>
      </c>
      <c r="F99" s="7">
        <f t="shared" si="106"/>
        <v>-132389.79999999999</v>
      </c>
      <c r="G99" s="7">
        <v>132389.79999999999</v>
      </c>
      <c r="H99" s="7">
        <f t="shared" si="107"/>
        <v>132389.79999999999</v>
      </c>
      <c r="I99" s="1">
        <v>75407.22</v>
      </c>
      <c r="J99" s="1">
        <f t="shared" si="103"/>
        <v>56982.579999999987</v>
      </c>
      <c r="K99" s="1">
        <v>-56982.58</v>
      </c>
      <c r="L99" s="1">
        <f t="shared" si="104"/>
        <v>75407.219999999987</v>
      </c>
      <c r="M99" s="7">
        <f>67028.64-L99</f>
        <v>-8378.5799999999872</v>
      </c>
      <c r="N99" s="1">
        <f t="shared" si="93"/>
        <v>67028.639999999999</v>
      </c>
      <c r="O99" s="1">
        <v>83695.16</v>
      </c>
      <c r="P99" s="1">
        <f t="shared" si="94"/>
        <v>16666.520000000004</v>
      </c>
      <c r="Q99" s="1">
        <f t="shared" si="95"/>
        <v>83695.16</v>
      </c>
      <c r="R99" s="1">
        <v>83785.8</v>
      </c>
      <c r="S99" s="1">
        <f t="shared" si="96"/>
        <v>90.639999999999418</v>
      </c>
      <c r="T99" s="1">
        <f t="shared" si="97"/>
        <v>83785.8</v>
      </c>
      <c r="U99" s="1">
        <v>108921.54</v>
      </c>
      <c r="V99" s="1">
        <f t="shared" si="98"/>
        <v>25135.739999999991</v>
      </c>
      <c r="W99" s="1">
        <f t="shared" si="99"/>
        <v>108921.54</v>
      </c>
      <c r="X99" s="1">
        <v>91567.05</v>
      </c>
      <c r="Y99" s="41">
        <f t="shared" si="67"/>
        <v>-17354.489999999991</v>
      </c>
      <c r="Z99" s="1">
        <f t="shared" si="68"/>
        <v>91567.05</v>
      </c>
      <c r="AA99" s="1">
        <v>76923.539999999994</v>
      </c>
      <c r="AB99" s="1">
        <f t="shared" si="105"/>
        <v>-14643.510000000009</v>
      </c>
      <c r="AC99" s="1">
        <f t="shared" si="100"/>
        <v>76923.539999999994</v>
      </c>
      <c r="AD99" s="41">
        <v>70962.740000000005</v>
      </c>
      <c r="AE99" s="1">
        <f t="shared" si="101"/>
        <v>-5960.7999999999884</v>
      </c>
      <c r="AF99" s="1">
        <f t="shared" si="102"/>
        <v>70962.740000000005</v>
      </c>
    </row>
    <row r="100" spans="1:32" outlineLevel="2">
      <c r="A100" s="11">
        <v>15100</v>
      </c>
      <c r="B100" s="11">
        <v>12005</v>
      </c>
      <c r="C100" s="42" t="s">
        <v>677</v>
      </c>
      <c r="D100" s="7">
        <v>0</v>
      </c>
      <c r="E100" s="7">
        <v>27789.18</v>
      </c>
      <c r="F100" s="7">
        <f>D100-E100</f>
        <v>-27789.18</v>
      </c>
      <c r="G100" s="7">
        <v>27789.18</v>
      </c>
      <c r="H100" s="7">
        <f>D100+G100</f>
        <v>27789.18</v>
      </c>
      <c r="I100" s="1">
        <v>16057.16</v>
      </c>
      <c r="J100" s="1">
        <f t="shared" si="103"/>
        <v>11732.02</v>
      </c>
      <c r="K100" s="1">
        <v>-11732.02</v>
      </c>
      <c r="L100" s="1">
        <f t="shared" si="104"/>
        <v>16057.16</v>
      </c>
      <c r="M100" s="7">
        <f>7678.58-L100</f>
        <v>-8378.58</v>
      </c>
      <c r="N100" s="1">
        <f t="shared" si="93"/>
        <v>7678.58</v>
      </c>
      <c r="O100" s="1">
        <v>7678.58</v>
      </c>
      <c r="P100" s="1">
        <f t="shared" si="94"/>
        <v>0</v>
      </c>
      <c r="Q100" s="1">
        <f t="shared" si="95"/>
        <v>7678.58</v>
      </c>
      <c r="R100" s="1">
        <v>23035.74</v>
      </c>
      <c r="S100" s="1">
        <f t="shared" si="96"/>
        <v>15357.160000000002</v>
      </c>
      <c r="T100" s="1">
        <f t="shared" si="97"/>
        <v>23035.74</v>
      </c>
      <c r="U100" s="1">
        <v>15966.52</v>
      </c>
      <c r="V100" s="1">
        <f t="shared" si="98"/>
        <v>-7069.2200000000012</v>
      </c>
      <c r="W100" s="1">
        <f t="shared" si="99"/>
        <v>15966.52</v>
      </c>
      <c r="X100" s="1">
        <v>17436.18</v>
      </c>
      <c r="Y100" s="41">
        <f t="shared" si="67"/>
        <v>1469.6599999999999</v>
      </c>
      <c r="Z100" s="1">
        <f t="shared" si="68"/>
        <v>17436.18</v>
      </c>
      <c r="AA100" s="1">
        <v>16379.98</v>
      </c>
      <c r="AB100" s="1">
        <f t="shared" si="105"/>
        <v>-1056.2000000000007</v>
      </c>
      <c r="AC100" s="1">
        <f t="shared" si="100"/>
        <v>16379.98</v>
      </c>
      <c r="AD100" s="41">
        <v>0</v>
      </c>
      <c r="AE100" s="1">
        <f t="shared" si="101"/>
        <v>-16379.98</v>
      </c>
      <c r="AF100" s="1">
        <f t="shared" si="102"/>
        <v>0</v>
      </c>
    </row>
    <row r="101" spans="1:32" outlineLevel="2">
      <c r="A101" s="11">
        <v>15100</v>
      </c>
      <c r="B101" s="11">
        <v>12006</v>
      </c>
      <c r="C101" s="11" t="s">
        <v>81</v>
      </c>
      <c r="D101" s="7">
        <v>0</v>
      </c>
      <c r="E101" s="7">
        <v>34475.03</v>
      </c>
      <c r="F101" s="7">
        <f t="shared" si="106"/>
        <v>-34475.03</v>
      </c>
      <c r="G101" s="7">
        <v>34475.03</v>
      </c>
      <c r="H101" s="7">
        <f t="shared" si="107"/>
        <v>34475.03</v>
      </c>
      <c r="I101" s="1">
        <v>52599.87</v>
      </c>
      <c r="J101" s="1">
        <f t="shared" si="103"/>
        <v>-18124.840000000004</v>
      </c>
      <c r="K101" s="1">
        <v>18124.84</v>
      </c>
      <c r="L101" s="1">
        <f t="shared" si="104"/>
        <v>52599.869999999995</v>
      </c>
      <c r="M101" s="7">
        <f>47021.54-L101</f>
        <v>-5578.3299999999945</v>
      </c>
      <c r="N101" s="1">
        <f t="shared" si="93"/>
        <v>47021.54</v>
      </c>
      <c r="O101" s="1">
        <v>50405.2</v>
      </c>
      <c r="P101" s="1">
        <f t="shared" si="94"/>
        <v>3383.6599999999962</v>
      </c>
      <c r="Q101" s="1">
        <f t="shared" si="95"/>
        <v>50405.2</v>
      </c>
      <c r="R101" s="1">
        <v>52513.49</v>
      </c>
      <c r="S101" s="1">
        <f t="shared" si="96"/>
        <v>2108.2900000000009</v>
      </c>
      <c r="T101" s="1">
        <f t="shared" si="97"/>
        <v>52513.49</v>
      </c>
      <c r="U101" s="1">
        <v>67845.259999999995</v>
      </c>
      <c r="V101" s="1">
        <f t="shared" si="98"/>
        <v>15331.769999999997</v>
      </c>
      <c r="W101" s="1">
        <f t="shared" si="99"/>
        <v>67845.259999999995</v>
      </c>
      <c r="X101" s="1">
        <v>57162.02</v>
      </c>
      <c r="Y101" s="41">
        <f t="shared" si="67"/>
        <v>-10683.239999999998</v>
      </c>
      <c r="Z101" s="1">
        <f t="shared" si="68"/>
        <v>57162.02</v>
      </c>
      <c r="AA101" s="1">
        <v>47943.44</v>
      </c>
      <c r="AB101" s="1">
        <f t="shared" si="105"/>
        <v>-9218.5799999999945</v>
      </c>
      <c r="AC101" s="1">
        <f t="shared" si="100"/>
        <v>47943.44</v>
      </c>
      <c r="AD101" s="41">
        <v>44878.99</v>
      </c>
      <c r="AE101" s="1">
        <f t="shared" si="101"/>
        <v>-3064.4500000000044</v>
      </c>
      <c r="AF101" s="1">
        <f t="shared" si="102"/>
        <v>44878.99</v>
      </c>
    </row>
    <row r="102" spans="1:32" outlineLevel="2">
      <c r="A102" s="11">
        <v>15100</v>
      </c>
      <c r="B102" s="11">
        <v>12100</v>
      </c>
      <c r="C102" s="11" t="s">
        <v>91</v>
      </c>
      <c r="D102" s="7">
        <v>616401.30000000005</v>
      </c>
      <c r="E102" s="7">
        <v>252765.71</v>
      </c>
      <c r="F102" s="7">
        <f t="shared" si="106"/>
        <v>363635.59000000008</v>
      </c>
      <c r="G102" s="7">
        <v>-363635.59</v>
      </c>
      <c r="H102" s="7">
        <f t="shared" si="107"/>
        <v>252765.71000000002</v>
      </c>
      <c r="I102" s="1">
        <v>207411.26</v>
      </c>
      <c r="J102" s="1">
        <f t="shared" si="103"/>
        <v>45354.450000000012</v>
      </c>
      <c r="K102" s="1">
        <v>-45354.45</v>
      </c>
      <c r="L102" s="1">
        <f t="shared" si="104"/>
        <v>207411.26</v>
      </c>
      <c r="M102" s="7">
        <f>189522.9-L102</f>
        <v>-17888.360000000015</v>
      </c>
      <c r="N102" s="1">
        <f t="shared" si="93"/>
        <v>189522.9</v>
      </c>
      <c r="O102" s="1">
        <v>187337.36</v>
      </c>
      <c r="P102" s="1">
        <f t="shared" si="94"/>
        <v>-2185.5400000000081</v>
      </c>
      <c r="Q102" s="1">
        <f t="shared" si="95"/>
        <v>187337.36</v>
      </c>
      <c r="R102" s="1">
        <v>192780.42</v>
      </c>
      <c r="S102" s="1">
        <f t="shared" si="96"/>
        <v>5443.0600000000268</v>
      </c>
      <c r="T102" s="1">
        <f t="shared" si="97"/>
        <v>192780.42</v>
      </c>
      <c r="U102" s="1">
        <v>234109.2</v>
      </c>
      <c r="V102" s="1">
        <f t="shared" si="98"/>
        <v>41328.78</v>
      </c>
      <c r="W102" s="1">
        <f t="shared" si="99"/>
        <v>234109.2</v>
      </c>
      <c r="X102" s="1">
        <v>205947.19</v>
      </c>
      <c r="Y102" s="41">
        <f t="shared" si="67"/>
        <v>-28162.010000000009</v>
      </c>
      <c r="Z102" s="1">
        <f t="shared" si="68"/>
        <v>205947.19</v>
      </c>
      <c r="AA102" s="1">
        <v>205739.74</v>
      </c>
      <c r="AB102" s="1">
        <f t="shared" si="105"/>
        <v>-207.45000000001164</v>
      </c>
      <c r="AC102" s="1">
        <f t="shared" si="100"/>
        <v>205739.74</v>
      </c>
      <c r="AD102" s="41">
        <v>192845.12</v>
      </c>
      <c r="AE102" s="1">
        <f t="shared" si="101"/>
        <v>-12894.619999999995</v>
      </c>
      <c r="AF102" s="1">
        <f t="shared" si="102"/>
        <v>192845.12</v>
      </c>
    </row>
    <row r="103" spans="1:32" outlineLevel="2">
      <c r="A103" s="11">
        <v>15100</v>
      </c>
      <c r="B103" s="11">
        <v>12101</v>
      </c>
      <c r="C103" s="11" t="s">
        <v>92</v>
      </c>
      <c r="D103" s="7">
        <v>0</v>
      </c>
      <c r="E103" s="7">
        <v>321808.90000000002</v>
      </c>
      <c r="F103" s="7">
        <f t="shared" si="106"/>
        <v>-321808.90000000002</v>
      </c>
      <c r="G103" s="7">
        <v>321808.90000000002</v>
      </c>
      <c r="H103" s="7">
        <f t="shared" si="107"/>
        <v>321808.90000000002</v>
      </c>
      <c r="I103" s="1">
        <v>264641.71999999997</v>
      </c>
      <c r="J103" s="1">
        <f t="shared" si="103"/>
        <v>57167.180000000051</v>
      </c>
      <c r="K103" s="1">
        <v>-57167.18</v>
      </c>
      <c r="L103" s="1">
        <f t="shared" si="104"/>
        <v>264641.72000000003</v>
      </c>
      <c r="M103" s="7">
        <f>237352.57-L103</f>
        <v>-27289.150000000023</v>
      </c>
      <c r="N103" s="1">
        <f t="shared" si="93"/>
        <v>237352.57</v>
      </c>
      <c r="O103" s="1">
        <v>233891.84</v>
      </c>
      <c r="P103" s="1">
        <f t="shared" si="94"/>
        <v>-3460.7300000000105</v>
      </c>
      <c r="Q103" s="1">
        <f t="shared" si="95"/>
        <v>233891.84</v>
      </c>
      <c r="R103" s="1">
        <v>255894.66</v>
      </c>
      <c r="S103" s="1">
        <f t="shared" si="96"/>
        <v>22002.820000000007</v>
      </c>
      <c r="T103" s="1">
        <f t="shared" si="97"/>
        <v>255894.66</v>
      </c>
      <c r="U103" s="1">
        <v>302020.14</v>
      </c>
      <c r="V103" s="1">
        <f t="shared" si="98"/>
        <v>46125.48000000001</v>
      </c>
      <c r="W103" s="1">
        <f t="shared" si="99"/>
        <v>302020.14</v>
      </c>
      <c r="X103" s="1">
        <v>257834.12</v>
      </c>
      <c r="Y103" s="41">
        <f t="shared" si="67"/>
        <v>-44186.020000000019</v>
      </c>
      <c r="Z103" s="1">
        <f t="shared" si="68"/>
        <v>257834.12</v>
      </c>
      <c r="AA103" s="1">
        <v>288965.71000000002</v>
      </c>
      <c r="AB103" s="1">
        <f t="shared" si="105"/>
        <v>31131.590000000026</v>
      </c>
      <c r="AC103" s="1">
        <f t="shared" si="100"/>
        <v>288965.71000000002</v>
      </c>
      <c r="AD103" s="41">
        <v>268577.34000000003</v>
      </c>
      <c r="AE103" s="1">
        <f t="shared" si="101"/>
        <v>-20388.369999999995</v>
      </c>
      <c r="AF103" s="1">
        <f t="shared" si="102"/>
        <v>268577.34000000003</v>
      </c>
    </row>
    <row r="104" spans="1:32" outlineLevel="2">
      <c r="A104" s="11">
        <v>15100</v>
      </c>
      <c r="B104" s="11">
        <v>13000</v>
      </c>
      <c r="C104" s="11" t="s">
        <v>93</v>
      </c>
      <c r="D104" s="7">
        <v>17119.05</v>
      </c>
      <c r="E104" s="7">
        <v>0</v>
      </c>
      <c r="F104" s="7">
        <f t="shared" si="106"/>
        <v>17119.05</v>
      </c>
      <c r="G104" s="7">
        <v>-17119.05</v>
      </c>
      <c r="H104" s="7">
        <f t="shared" si="107"/>
        <v>0</v>
      </c>
      <c r="I104" s="1">
        <v>34510.9</v>
      </c>
      <c r="J104" s="1">
        <f t="shared" si="103"/>
        <v>-34510.9</v>
      </c>
      <c r="K104" s="1">
        <v>34510.9</v>
      </c>
      <c r="L104" s="1">
        <f t="shared" si="104"/>
        <v>34510.9</v>
      </c>
      <c r="M104" s="7">
        <f>34408.35-L104</f>
        <v>-102.55000000000291</v>
      </c>
      <c r="N104" s="1">
        <f t="shared" si="93"/>
        <v>34408.35</v>
      </c>
      <c r="O104" s="1">
        <v>32029.25</v>
      </c>
      <c r="P104" s="1">
        <f t="shared" si="94"/>
        <v>-2379.0999999999985</v>
      </c>
      <c r="Q104" s="1">
        <f t="shared" si="95"/>
        <v>32029.25</v>
      </c>
      <c r="R104" s="1">
        <v>23852.28</v>
      </c>
      <c r="S104" s="1">
        <f t="shared" si="96"/>
        <v>-8176.9700000000012</v>
      </c>
      <c r="T104" s="1">
        <f t="shared" si="97"/>
        <v>23852.28</v>
      </c>
      <c r="U104" s="1">
        <v>24775.41</v>
      </c>
      <c r="V104" s="1">
        <f t="shared" si="98"/>
        <v>923.13000000000102</v>
      </c>
      <c r="W104" s="1">
        <f t="shared" si="99"/>
        <v>24775.41</v>
      </c>
      <c r="X104" s="1">
        <v>39440.839999999997</v>
      </c>
      <c r="Y104" s="41">
        <f t="shared" si="67"/>
        <v>14665.429999999997</v>
      </c>
      <c r="Z104" s="1">
        <f t="shared" si="68"/>
        <v>39440.839999999997</v>
      </c>
      <c r="AA104" s="1">
        <v>18558.759999999998</v>
      </c>
      <c r="AB104" s="1">
        <f t="shared" si="105"/>
        <v>-20882.079999999998</v>
      </c>
      <c r="AC104" s="1">
        <f t="shared" si="100"/>
        <v>18558.759999999998</v>
      </c>
      <c r="AD104" s="41">
        <v>9569.42</v>
      </c>
      <c r="AE104" s="1">
        <f t="shared" si="101"/>
        <v>-8989.3399999999983</v>
      </c>
      <c r="AF104" s="1">
        <f t="shared" si="102"/>
        <v>9569.42</v>
      </c>
    </row>
    <row r="105" spans="1:32" outlineLevel="2">
      <c r="A105" s="11">
        <v>15100</v>
      </c>
      <c r="B105" s="11">
        <v>13002</v>
      </c>
      <c r="C105" s="11" t="s">
        <v>95</v>
      </c>
      <c r="D105" s="7">
        <v>0</v>
      </c>
      <c r="E105" s="7">
        <v>0</v>
      </c>
      <c r="F105" s="7">
        <f>D105-E105</f>
        <v>0</v>
      </c>
      <c r="G105" s="7">
        <v>0</v>
      </c>
      <c r="H105" s="7">
        <f>D105+G105</f>
        <v>0</v>
      </c>
      <c r="I105" s="1">
        <v>35012.46</v>
      </c>
      <c r="J105" s="1">
        <f t="shared" si="103"/>
        <v>-35012.46</v>
      </c>
      <c r="K105" s="1">
        <v>35012.46</v>
      </c>
      <c r="L105" s="1">
        <f t="shared" si="104"/>
        <v>35012.46</v>
      </c>
      <c r="M105" s="7">
        <f>0</f>
        <v>0</v>
      </c>
      <c r="N105" s="1">
        <f t="shared" si="93"/>
        <v>35012.46</v>
      </c>
      <c r="O105" s="1">
        <v>33968.199999999997</v>
      </c>
      <c r="P105" s="1">
        <f t="shared" si="94"/>
        <v>-1044.260000000002</v>
      </c>
      <c r="Q105" s="1">
        <f t="shared" si="95"/>
        <v>33968.199999999997</v>
      </c>
      <c r="R105" s="1">
        <v>24871.42</v>
      </c>
      <c r="S105" s="1">
        <f t="shared" si="96"/>
        <v>-9096.7799999999988</v>
      </c>
      <c r="T105" s="1">
        <f t="shared" si="97"/>
        <v>24871.42</v>
      </c>
      <c r="U105" s="1">
        <v>24871.42</v>
      </c>
      <c r="V105" s="1">
        <f t="shared" si="98"/>
        <v>0</v>
      </c>
      <c r="W105" s="1">
        <f t="shared" si="99"/>
        <v>24871.42</v>
      </c>
      <c r="X105" s="1">
        <v>35362.58</v>
      </c>
      <c r="Y105" s="41">
        <f t="shared" si="67"/>
        <v>10491.160000000003</v>
      </c>
      <c r="Z105" s="1">
        <f t="shared" si="68"/>
        <v>35362.58</v>
      </c>
      <c r="AA105" s="1">
        <v>19624.62</v>
      </c>
      <c r="AB105" s="1">
        <f t="shared" si="105"/>
        <v>-15737.960000000003</v>
      </c>
      <c r="AC105" s="1">
        <f t="shared" si="100"/>
        <v>19624.62</v>
      </c>
      <c r="AD105" s="41">
        <v>9418.9599999999991</v>
      </c>
      <c r="AE105" s="1">
        <f t="shared" si="101"/>
        <v>-10205.66</v>
      </c>
      <c r="AF105" s="1">
        <f t="shared" si="102"/>
        <v>9418.9599999999991</v>
      </c>
    </row>
    <row r="106" spans="1:32" outlineLevel="2">
      <c r="A106" s="11">
        <v>15100</v>
      </c>
      <c r="B106" s="19">
        <v>15100</v>
      </c>
      <c r="C106" s="19" t="s">
        <v>71</v>
      </c>
      <c r="D106" s="20">
        <v>23235</v>
      </c>
      <c r="E106" s="20"/>
      <c r="F106" s="20">
        <f t="shared" si="83"/>
        <v>23235</v>
      </c>
      <c r="G106" s="20">
        <v>-5000</v>
      </c>
      <c r="H106" s="20">
        <f t="shared" si="84"/>
        <v>18235</v>
      </c>
      <c r="I106" s="21">
        <v>18235</v>
      </c>
      <c r="J106" s="21">
        <f t="shared" si="103"/>
        <v>0</v>
      </c>
      <c r="K106" s="21">
        <v>0</v>
      </c>
      <c r="L106" s="21">
        <f t="shared" si="104"/>
        <v>18235</v>
      </c>
      <c r="M106" s="7">
        <v>-12000</v>
      </c>
      <c r="N106" s="1">
        <f t="shared" si="93"/>
        <v>6235</v>
      </c>
      <c r="O106" s="1">
        <v>0</v>
      </c>
      <c r="P106" s="1">
        <f t="shared" si="94"/>
        <v>-6235</v>
      </c>
      <c r="Q106" s="1">
        <f t="shared" si="95"/>
        <v>0</v>
      </c>
      <c r="S106" s="1">
        <f t="shared" si="96"/>
        <v>0</v>
      </c>
      <c r="T106" s="1">
        <f t="shared" si="97"/>
        <v>0</v>
      </c>
      <c r="U106" s="1">
        <v>5000</v>
      </c>
      <c r="V106" s="1">
        <f t="shared" si="98"/>
        <v>5000</v>
      </c>
      <c r="W106" s="1">
        <f t="shared" si="99"/>
        <v>5000</v>
      </c>
      <c r="X106" s="1">
        <v>5000</v>
      </c>
      <c r="Y106" s="41">
        <f t="shared" si="67"/>
        <v>0</v>
      </c>
      <c r="Z106" s="1">
        <f t="shared" si="68"/>
        <v>5000</v>
      </c>
      <c r="AA106" s="1">
        <v>18000</v>
      </c>
      <c r="AB106" s="1">
        <f t="shared" si="105"/>
        <v>13000</v>
      </c>
      <c r="AC106" s="1">
        <f t="shared" si="100"/>
        <v>18000</v>
      </c>
      <c r="AD106" s="41">
        <v>6000</v>
      </c>
      <c r="AE106" s="1">
        <f t="shared" si="101"/>
        <v>-12000</v>
      </c>
      <c r="AF106" s="1">
        <f t="shared" si="102"/>
        <v>6000</v>
      </c>
    </row>
    <row r="107" spans="1:32" outlineLevel="2">
      <c r="A107" s="11">
        <v>15100</v>
      </c>
      <c r="B107" s="19">
        <v>13100</v>
      </c>
      <c r="C107" s="11" t="s">
        <v>639</v>
      </c>
      <c r="D107" s="7">
        <v>9905.4500000000007</v>
      </c>
      <c r="E107" s="7">
        <v>9935.16</v>
      </c>
      <c r="F107" s="7">
        <f t="shared" si="83"/>
        <v>-29.709999999999127</v>
      </c>
      <c r="G107" s="7">
        <v>29.71</v>
      </c>
      <c r="H107" s="7">
        <f t="shared" si="84"/>
        <v>9935.16</v>
      </c>
      <c r="I107" s="1">
        <v>0</v>
      </c>
      <c r="J107" s="1">
        <f t="shared" si="103"/>
        <v>9935.16</v>
      </c>
      <c r="K107" s="1">
        <v>-9935.16</v>
      </c>
      <c r="L107" s="1">
        <f t="shared" si="104"/>
        <v>0</v>
      </c>
      <c r="M107" s="7">
        <v>5484.81</v>
      </c>
      <c r="N107" s="1">
        <f t="shared" si="93"/>
        <v>5484.81</v>
      </c>
      <c r="O107" s="1">
        <v>5484.81</v>
      </c>
      <c r="P107" s="1">
        <f t="shared" si="94"/>
        <v>0</v>
      </c>
      <c r="Q107" s="1">
        <f t="shared" si="95"/>
        <v>5484.81</v>
      </c>
      <c r="R107" s="1">
        <v>14239.29</v>
      </c>
      <c r="S107" s="1">
        <f t="shared" si="96"/>
        <v>8754.48</v>
      </c>
      <c r="T107" s="1">
        <f t="shared" si="97"/>
        <v>14239.29</v>
      </c>
      <c r="U107" s="1">
        <v>8879.7800000000007</v>
      </c>
      <c r="V107" s="1">
        <f t="shared" si="98"/>
        <v>-5359.51</v>
      </c>
      <c r="W107" s="1">
        <f t="shared" si="99"/>
        <v>8879.7800000000007</v>
      </c>
      <c r="X107" s="1">
        <v>5465.34</v>
      </c>
      <c r="Y107" s="41">
        <f t="shared" si="67"/>
        <v>-3414.4400000000005</v>
      </c>
      <c r="Z107" s="1">
        <f t="shared" si="68"/>
        <v>5465.34</v>
      </c>
      <c r="AA107" s="1">
        <v>0</v>
      </c>
      <c r="AB107" s="1">
        <f t="shared" si="105"/>
        <v>-5465.34</v>
      </c>
      <c r="AC107" s="1">
        <f t="shared" si="100"/>
        <v>0</v>
      </c>
      <c r="AD107" s="41">
        <v>0</v>
      </c>
      <c r="AE107" s="1">
        <f t="shared" si="101"/>
        <v>0</v>
      </c>
      <c r="AF107" s="1">
        <f t="shared" si="102"/>
        <v>0</v>
      </c>
    </row>
    <row r="108" spans="1:32" outlineLevel="2">
      <c r="A108" s="11">
        <v>15100</v>
      </c>
      <c r="B108" s="19">
        <v>13101</v>
      </c>
      <c r="C108" s="11" t="s">
        <v>640</v>
      </c>
      <c r="D108" s="7">
        <v>9121.9699999999993</v>
      </c>
      <c r="E108" s="7">
        <v>9149.33</v>
      </c>
      <c r="F108" s="7">
        <f t="shared" si="83"/>
        <v>-27.360000000000582</v>
      </c>
      <c r="G108" s="7">
        <v>27.36</v>
      </c>
      <c r="H108" s="7">
        <f t="shared" si="84"/>
        <v>9149.33</v>
      </c>
      <c r="I108" s="1">
        <v>0</v>
      </c>
      <c r="J108" s="1">
        <f t="shared" si="103"/>
        <v>9149.33</v>
      </c>
      <c r="K108" s="1">
        <v>-9149.33</v>
      </c>
      <c r="L108" s="1">
        <f t="shared" si="104"/>
        <v>0</v>
      </c>
      <c r="M108" s="7">
        <v>6497.83</v>
      </c>
      <c r="N108" s="1">
        <f t="shared" si="93"/>
        <v>6497.83</v>
      </c>
      <c r="O108" s="1">
        <v>6497.83</v>
      </c>
      <c r="P108" s="1">
        <f t="shared" si="94"/>
        <v>0</v>
      </c>
      <c r="Q108" s="1">
        <f t="shared" si="95"/>
        <v>6497.83</v>
      </c>
      <c r="R108" s="1">
        <v>16638.87</v>
      </c>
      <c r="S108" s="1">
        <f t="shared" si="96"/>
        <v>10141.039999999999</v>
      </c>
      <c r="T108" s="1">
        <f t="shared" si="97"/>
        <v>16638.87</v>
      </c>
      <c r="U108" s="1">
        <v>1014.04</v>
      </c>
      <c r="V108" s="1">
        <f t="shared" si="98"/>
        <v>-15624.829999999998</v>
      </c>
      <c r="W108" s="1">
        <f t="shared" si="99"/>
        <v>1014.0400000000009</v>
      </c>
      <c r="X108" s="1">
        <v>6330.4</v>
      </c>
      <c r="Y108" s="41">
        <f t="shared" si="67"/>
        <v>5316.3599999999988</v>
      </c>
      <c r="Z108" s="1">
        <f t="shared" si="68"/>
        <v>6330.4</v>
      </c>
      <c r="AA108" s="1">
        <v>0</v>
      </c>
      <c r="AB108" s="1">
        <f t="shared" si="105"/>
        <v>-6330.4</v>
      </c>
      <c r="AC108" s="1">
        <f t="shared" si="100"/>
        <v>0</v>
      </c>
      <c r="AD108" s="41">
        <v>0</v>
      </c>
      <c r="AE108" s="1">
        <f t="shared" si="101"/>
        <v>0</v>
      </c>
      <c r="AF108" s="1">
        <f t="shared" si="102"/>
        <v>0</v>
      </c>
    </row>
    <row r="109" spans="1:32" outlineLevel="2">
      <c r="A109" s="11">
        <v>15100</v>
      </c>
      <c r="B109" s="60">
        <v>16000</v>
      </c>
      <c r="C109" s="56" t="s">
        <v>743</v>
      </c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>
        <v>0</v>
      </c>
      <c r="U109" s="53">
        <v>0</v>
      </c>
      <c r="V109" s="53">
        <f t="shared" ref="V109" si="108">U109-T109</f>
        <v>0</v>
      </c>
      <c r="W109" s="53">
        <f t="shared" ref="W109" si="109">T109+V109</f>
        <v>0</v>
      </c>
      <c r="X109" s="1">
        <v>0</v>
      </c>
      <c r="Y109" s="41">
        <f t="shared" si="67"/>
        <v>0</v>
      </c>
      <c r="Z109" s="1">
        <f t="shared" si="68"/>
        <v>0</v>
      </c>
      <c r="AA109" s="1">
        <v>0</v>
      </c>
      <c r="AB109" s="1">
        <f t="shared" si="105"/>
        <v>0</v>
      </c>
      <c r="AC109" s="1">
        <f t="shared" si="100"/>
        <v>0</v>
      </c>
      <c r="AD109" s="41">
        <v>242980.47</v>
      </c>
      <c r="AE109" s="1">
        <f t="shared" si="101"/>
        <v>242980.47</v>
      </c>
      <c r="AF109" s="1">
        <f t="shared" si="102"/>
        <v>242980.47</v>
      </c>
    </row>
    <row r="110" spans="1:32" outlineLevel="2">
      <c r="A110" s="11">
        <v>15100</v>
      </c>
      <c r="B110" s="60">
        <v>20300</v>
      </c>
      <c r="C110" s="56" t="s">
        <v>781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>
        <v>0</v>
      </c>
      <c r="X110" s="1">
        <v>3000</v>
      </c>
      <c r="Y110" s="41">
        <f t="shared" ref="Y110" si="110">X110-W110</f>
        <v>3000</v>
      </c>
      <c r="Z110" s="1">
        <f t="shared" ref="Z110" si="111">W110+Y110</f>
        <v>3000</v>
      </c>
      <c r="AA110" s="1">
        <v>3000</v>
      </c>
      <c r="AB110" s="1">
        <f t="shared" si="105"/>
        <v>0</v>
      </c>
      <c r="AC110" s="1">
        <f t="shared" si="100"/>
        <v>3000</v>
      </c>
      <c r="AD110" s="41">
        <v>900</v>
      </c>
      <c r="AE110" s="1">
        <f t="shared" si="101"/>
        <v>-2100</v>
      </c>
      <c r="AF110" s="1">
        <f t="shared" si="102"/>
        <v>900</v>
      </c>
    </row>
    <row r="111" spans="1:32" outlineLevel="2">
      <c r="A111" s="11">
        <v>15100</v>
      </c>
      <c r="B111" s="60">
        <v>20400</v>
      </c>
      <c r="C111" s="56" t="s">
        <v>409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Y111" s="41"/>
      <c r="Z111" s="1">
        <v>0</v>
      </c>
      <c r="AA111" s="1">
        <v>9990.48</v>
      </c>
      <c r="AB111" s="1">
        <f t="shared" si="105"/>
        <v>9990.48</v>
      </c>
      <c r="AC111" s="1">
        <f t="shared" si="100"/>
        <v>9990.48</v>
      </c>
      <c r="AD111" s="41">
        <v>9990.48</v>
      </c>
      <c r="AE111" s="1">
        <f t="shared" si="101"/>
        <v>0</v>
      </c>
      <c r="AF111" s="1">
        <f t="shared" si="102"/>
        <v>9990.48</v>
      </c>
    </row>
    <row r="112" spans="1:32" outlineLevel="2">
      <c r="A112" s="11">
        <v>15100</v>
      </c>
      <c r="B112" s="19">
        <v>21200</v>
      </c>
      <c r="C112" s="39" t="s">
        <v>734</v>
      </c>
      <c r="D112" s="7"/>
      <c r="E112" s="7"/>
      <c r="F112" s="7"/>
      <c r="G112" s="7"/>
      <c r="H112" s="7"/>
      <c r="I112" s="1"/>
      <c r="J112" s="1"/>
      <c r="K112" s="1"/>
      <c r="L112" s="1"/>
      <c r="N112" s="1"/>
      <c r="O112" s="1"/>
      <c r="T112" s="1">
        <v>0</v>
      </c>
      <c r="U112" s="1">
        <v>2000</v>
      </c>
      <c r="V112" s="1">
        <f t="shared" si="98"/>
        <v>2000</v>
      </c>
      <c r="W112" s="1">
        <f t="shared" si="99"/>
        <v>2000</v>
      </c>
      <c r="X112" s="1">
        <v>2000</v>
      </c>
      <c r="Y112" s="41">
        <f t="shared" si="67"/>
        <v>0</v>
      </c>
      <c r="Z112" s="1">
        <f t="shared" si="68"/>
        <v>2000</v>
      </c>
      <c r="AA112" s="1">
        <v>5000</v>
      </c>
      <c r="AB112" s="1">
        <f t="shared" si="105"/>
        <v>3000</v>
      </c>
      <c r="AC112" s="1">
        <f t="shared" si="100"/>
        <v>5000</v>
      </c>
      <c r="AD112" s="41">
        <v>3500</v>
      </c>
      <c r="AE112" s="1">
        <f t="shared" si="101"/>
        <v>-1500</v>
      </c>
      <c r="AF112" s="1">
        <f t="shared" si="102"/>
        <v>3500</v>
      </c>
    </row>
    <row r="113" spans="1:32" outlineLevel="2">
      <c r="A113" s="11">
        <v>15100</v>
      </c>
      <c r="B113" s="11">
        <v>21300</v>
      </c>
      <c r="C113" s="11" t="s">
        <v>72</v>
      </c>
      <c r="D113" s="7">
        <v>601.01</v>
      </c>
      <c r="E113" s="7"/>
      <c r="F113" s="7">
        <f t="shared" si="83"/>
        <v>601.01</v>
      </c>
      <c r="G113" s="7">
        <v>-101.01</v>
      </c>
      <c r="H113" s="7">
        <f t="shared" si="84"/>
        <v>500</v>
      </c>
      <c r="I113" s="1"/>
      <c r="J113" s="1">
        <f t="shared" si="103"/>
        <v>500</v>
      </c>
      <c r="K113" s="1"/>
      <c r="L113" s="1">
        <f t="shared" si="104"/>
        <v>500</v>
      </c>
      <c r="N113" s="1">
        <f t="shared" si="93"/>
        <v>500</v>
      </c>
      <c r="O113" s="1"/>
      <c r="Q113" s="1">
        <f t="shared" si="95"/>
        <v>500</v>
      </c>
      <c r="T113" s="1">
        <f t="shared" si="97"/>
        <v>500</v>
      </c>
      <c r="U113" s="1">
        <f t="shared" si="97"/>
        <v>500</v>
      </c>
      <c r="V113" s="1">
        <f t="shared" si="98"/>
        <v>0</v>
      </c>
      <c r="W113" s="1">
        <f t="shared" si="99"/>
        <v>500</v>
      </c>
      <c r="X113" s="1">
        <v>9000</v>
      </c>
      <c r="Y113" s="41">
        <f t="shared" si="67"/>
        <v>8500</v>
      </c>
      <c r="Z113" s="1">
        <f t="shared" si="68"/>
        <v>9000</v>
      </c>
      <c r="AA113" s="1">
        <v>15000</v>
      </c>
      <c r="AB113" s="1">
        <f t="shared" si="105"/>
        <v>6000</v>
      </c>
      <c r="AC113" s="1">
        <f t="shared" si="100"/>
        <v>15000</v>
      </c>
      <c r="AD113" s="41">
        <v>5000</v>
      </c>
      <c r="AE113" s="1">
        <f t="shared" si="101"/>
        <v>-10000</v>
      </c>
      <c r="AF113" s="1">
        <f t="shared" si="102"/>
        <v>5000</v>
      </c>
    </row>
    <row r="114" spans="1:32" outlineLevel="2">
      <c r="A114" s="11">
        <v>15100</v>
      </c>
      <c r="B114" s="11">
        <v>21400</v>
      </c>
      <c r="C114" s="11" t="s">
        <v>73</v>
      </c>
      <c r="D114" s="7">
        <v>1500</v>
      </c>
      <c r="E114" s="7"/>
      <c r="F114" s="7">
        <f t="shared" si="83"/>
        <v>1500</v>
      </c>
      <c r="G114" s="7"/>
      <c r="H114" s="7">
        <f t="shared" si="84"/>
        <v>1500</v>
      </c>
      <c r="I114" s="1"/>
      <c r="J114" s="1">
        <f t="shared" si="103"/>
        <v>1500</v>
      </c>
      <c r="K114" s="1"/>
      <c r="L114" s="1">
        <f t="shared" si="104"/>
        <v>1500</v>
      </c>
      <c r="N114" s="1">
        <f t="shared" si="93"/>
        <v>1500</v>
      </c>
      <c r="O114" s="1"/>
      <c r="Q114" s="1">
        <f t="shared" si="95"/>
        <v>1500</v>
      </c>
      <c r="T114" s="1">
        <f t="shared" si="97"/>
        <v>1500</v>
      </c>
      <c r="U114" s="1">
        <f t="shared" si="97"/>
        <v>1500</v>
      </c>
      <c r="V114" s="1">
        <f t="shared" si="98"/>
        <v>0</v>
      </c>
      <c r="W114" s="1">
        <f t="shared" si="99"/>
        <v>1500</v>
      </c>
      <c r="X114" s="1">
        <v>1500</v>
      </c>
      <c r="Y114" s="41">
        <f t="shared" si="67"/>
        <v>0</v>
      </c>
      <c r="Z114" s="1">
        <f t="shared" si="68"/>
        <v>1500</v>
      </c>
      <c r="AA114" s="1">
        <v>800</v>
      </c>
      <c r="AB114" s="1">
        <f t="shared" si="105"/>
        <v>-700</v>
      </c>
      <c r="AC114" s="1">
        <f t="shared" si="100"/>
        <v>800</v>
      </c>
      <c r="AD114" s="41">
        <v>800</v>
      </c>
      <c r="AE114" s="1">
        <f t="shared" si="101"/>
        <v>0</v>
      </c>
      <c r="AF114" s="1">
        <f t="shared" si="102"/>
        <v>800</v>
      </c>
    </row>
    <row r="115" spans="1:32" outlineLevel="2">
      <c r="A115" s="11">
        <v>15100</v>
      </c>
      <c r="B115" s="11">
        <v>22000</v>
      </c>
      <c r="C115" s="11" t="s">
        <v>376</v>
      </c>
      <c r="D115" s="7">
        <v>4005.06</v>
      </c>
      <c r="E115" s="7"/>
      <c r="F115" s="7">
        <f t="shared" si="83"/>
        <v>4005.06</v>
      </c>
      <c r="G115" s="7">
        <v>-1005.06</v>
      </c>
      <c r="H115" s="7">
        <f t="shared" si="84"/>
        <v>3000</v>
      </c>
      <c r="I115" s="1"/>
      <c r="J115" s="1">
        <f t="shared" si="103"/>
        <v>3000</v>
      </c>
      <c r="K115" s="1"/>
      <c r="L115" s="1">
        <f t="shared" si="104"/>
        <v>3000</v>
      </c>
      <c r="N115" s="1">
        <f t="shared" si="93"/>
        <v>3000</v>
      </c>
      <c r="O115" s="1"/>
      <c r="Q115" s="1">
        <f t="shared" si="95"/>
        <v>3000</v>
      </c>
      <c r="T115" s="1">
        <f t="shared" si="97"/>
        <v>3000</v>
      </c>
      <c r="U115" s="1">
        <f t="shared" si="97"/>
        <v>3000</v>
      </c>
      <c r="V115" s="1">
        <f t="shared" si="98"/>
        <v>0</v>
      </c>
      <c r="W115" s="1">
        <f t="shared" si="99"/>
        <v>3000</v>
      </c>
      <c r="X115" s="1">
        <v>3200</v>
      </c>
      <c r="Y115" s="41">
        <f t="shared" si="67"/>
        <v>200</v>
      </c>
      <c r="Z115" s="1">
        <f t="shared" si="68"/>
        <v>3200</v>
      </c>
      <c r="AA115" s="1">
        <v>4000</v>
      </c>
      <c r="AB115" s="1">
        <f t="shared" si="105"/>
        <v>800</v>
      </c>
      <c r="AC115" s="1">
        <f t="shared" si="100"/>
        <v>4000</v>
      </c>
      <c r="AD115" s="41">
        <v>5000</v>
      </c>
      <c r="AE115" s="1">
        <f t="shared" si="101"/>
        <v>1000</v>
      </c>
      <c r="AF115" s="1">
        <f t="shared" si="102"/>
        <v>5000</v>
      </c>
    </row>
    <row r="116" spans="1:32" outlineLevel="2">
      <c r="A116" s="11">
        <v>15100</v>
      </c>
      <c r="B116" s="11">
        <v>22001</v>
      </c>
      <c r="C116" s="11" t="s">
        <v>907</v>
      </c>
      <c r="D116" s="7">
        <v>1502.53</v>
      </c>
      <c r="E116" s="7"/>
      <c r="F116" s="7">
        <f t="shared" si="83"/>
        <v>1502.53</v>
      </c>
      <c r="G116" s="7">
        <v>-502.53</v>
      </c>
      <c r="H116" s="7">
        <f t="shared" si="84"/>
        <v>1000</v>
      </c>
      <c r="I116" s="1"/>
      <c r="J116" s="1">
        <f t="shared" si="103"/>
        <v>1000</v>
      </c>
      <c r="K116" s="1"/>
      <c r="L116" s="1">
        <f t="shared" si="104"/>
        <v>1000</v>
      </c>
      <c r="N116" s="1">
        <f t="shared" si="93"/>
        <v>1000</v>
      </c>
      <c r="O116" s="1"/>
      <c r="Q116" s="1">
        <f t="shared" si="95"/>
        <v>1000</v>
      </c>
      <c r="T116" s="1">
        <f t="shared" si="97"/>
        <v>1000</v>
      </c>
      <c r="U116" s="1">
        <f t="shared" si="97"/>
        <v>1000</v>
      </c>
      <c r="V116" s="1">
        <f t="shared" si="98"/>
        <v>0</v>
      </c>
      <c r="W116" s="1">
        <f t="shared" si="99"/>
        <v>1000</v>
      </c>
      <c r="X116" s="1">
        <v>1000</v>
      </c>
      <c r="Y116" s="41">
        <f t="shared" si="67"/>
        <v>0</v>
      </c>
      <c r="Z116" s="1">
        <f t="shared" si="68"/>
        <v>1000</v>
      </c>
      <c r="AA116" s="1">
        <v>1300</v>
      </c>
      <c r="AB116" s="1">
        <f t="shared" si="105"/>
        <v>300</v>
      </c>
      <c r="AC116" s="1">
        <f t="shared" si="100"/>
        <v>1300</v>
      </c>
      <c r="AD116" s="41">
        <v>1000</v>
      </c>
      <c r="AE116" s="1">
        <f t="shared" si="101"/>
        <v>-300</v>
      </c>
      <c r="AF116" s="1">
        <f t="shared" si="102"/>
        <v>1000</v>
      </c>
    </row>
    <row r="117" spans="1:32" outlineLevel="2">
      <c r="A117" s="11">
        <v>15100</v>
      </c>
      <c r="B117" s="11">
        <v>22103</v>
      </c>
      <c r="C117" s="11" t="s">
        <v>69</v>
      </c>
      <c r="D117" s="7">
        <v>4000</v>
      </c>
      <c r="E117" s="7"/>
      <c r="F117" s="7">
        <f t="shared" si="83"/>
        <v>4000</v>
      </c>
      <c r="G117" s="7"/>
      <c r="H117" s="7">
        <f t="shared" si="84"/>
        <v>4000</v>
      </c>
      <c r="I117" s="1"/>
      <c r="J117" s="1">
        <f t="shared" si="103"/>
        <v>4000</v>
      </c>
      <c r="K117" s="1"/>
      <c r="L117" s="1">
        <f t="shared" si="104"/>
        <v>4000</v>
      </c>
      <c r="N117" s="1">
        <f t="shared" si="93"/>
        <v>4000</v>
      </c>
      <c r="O117" s="1"/>
      <c r="Q117" s="1">
        <f t="shared" si="95"/>
        <v>4000</v>
      </c>
      <c r="T117" s="53">
        <f t="shared" si="97"/>
        <v>4000</v>
      </c>
      <c r="U117" s="1">
        <f t="shared" si="97"/>
        <v>4000</v>
      </c>
      <c r="V117" s="1">
        <f t="shared" si="98"/>
        <v>0</v>
      </c>
      <c r="W117" s="1">
        <f t="shared" si="99"/>
        <v>4000</v>
      </c>
      <c r="X117" s="1">
        <v>4000</v>
      </c>
      <c r="Y117" s="41">
        <f t="shared" si="67"/>
        <v>0</v>
      </c>
      <c r="Z117" s="1">
        <f t="shared" si="68"/>
        <v>4000</v>
      </c>
      <c r="AA117" s="1">
        <v>3000</v>
      </c>
      <c r="AB117" s="1">
        <f t="shared" si="105"/>
        <v>-1000</v>
      </c>
      <c r="AC117" s="1">
        <f t="shared" si="100"/>
        <v>3000</v>
      </c>
      <c r="AD117" s="41">
        <v>2000</v>
      </c>
      <c r="AE117" s="1">
        <f t="shared" si="101"/>
        <v>-1000</v>
      </c>
      <c r="AF117" s="1">
        <f t="shared" si="102"/>
        <v>2000</v>
      </c>
    </row>
    <row r="118" spans="1:32" outlineLevel="2">
      <c r="A118" s="11">
        <v>15100</v>
      </c>
      <c r="B118" s="11">
        <v>22199</v>
      </c>
      <c r="C118" s="11" t="s">
        <v>378</v>
      </c>
      <c r="D118" s="7">
        <v>601.01</v>
      </c>
      <c r="E118" s="7"/>
      <c r="F118" s="7">
        <f t="shared" si="83"/>
        <v>601.01</v>
      </c>
      <c r="G118" s="7">
        <v>-101.01</v>
      </c>
      <c r="H118" s="7">
        <f t="shared" si="84"/>
        <v>500</v>
      </c>
      <c r="I118" s="1"/>
      <c r="J118" s="1">
        <f t="shared" si="103"/>
        <v>500</v>
      </c>
      <c r="K118" s="1"/>
      <c r="L118" s="1">
        <f t="shared" si="104"/>
        <v>500</v>
      </c>
      <c r="N118" s="1">
        <f t="shared" si="93"/>
        <v>500</v>
      </c>
      <c r="O118" s="1"/>
      <c r="Q118" s="1">
        <f t="shared" si="95"/>
        <v>500</v>
      </c>
      <c r="T118" s="1">
        <f t="shared" si="97"/>
        <v>500</v>
      </c>
      <c r="U118" s="1">
        <f t="shared" si="97"/>
        <v>500</v>
      </c>
      <c r="V118" s="1">
        <f t="shared" si="98"/>
        <v>0</v>
      </c>
      <c r="W118" s="1">
        <f t="shared" si="99"/>
        <v>500</v>
      </c>
      <c r="X118" s="1">
        <v>1000</v>
      </c>
      <c r="Y118" s="41">
        <f t="shared" si="67"/>
        <v>500</v>
      </c>
      <c r="Z118" s="1">
        <f t="shared" si="68"/>
        <v>1000</v>
      </c>
      <c r="AA118" s="1">
        <v>4000</v>
      </c>
      <c r="AB118" s="1">
        <f t="shared" si="105"/>
        <v>3000</v>
      </c>
      <c r="AC118" s="1">
        <f t="shared" si="100"/>
        <v>4000</v>
      </c>
      <c r="AD118" s="41">
        <v>5100</v>
      </c>
      <c r="AE118" s="1">
        <f t="shared" si="101"/>
        <v>1100</v>
      </c>
      <c r="AF118" s="1">
        <f t="shared" si="102"/>
        <v>5100</v>
      </c>
    </row>
    <row r="119" spans="1:32" outlineLevel="2">
      <c r="A119" s="11">
        <v>15100</v>
      </c>
      <c r="B119" s="11">
        <v>22699</v>
      </c>
      <c r="C119" s="11" t="s">
        <v>74</v>
      </c>
      <c r="D119" s="7">
        <v>601.01</v>
      </c>
      <c r="E119" s="7"/>
      <c r="F119" s="7">
        <f t="shared" si="83"/>
        <v>601.01</v>
      </c>
      <c r="G119" s="7">
        <v>-101.01</v>
      </c>
      <c r="H119" s="7">
        <f t="shared" si="84"/>
        <v>500</v>
      </c>
      <c r="I119" s="1"/>
      <c r="J119" s="1">
        <f t="shared" si="103"/>
        <v>500</v>
      </c>
      <c r="K119" s="1"/>
      <c r="L119" s="1">
        <f t="shared" si="104"/>
        <v>500</v>
      </c>
      <c r="N119" s="1">
        <f t="shared" si="93"/>
        <v>500</v>
      </c>
      <c r="O119" s="1"/>
      <c r="Q119" s="1">
        <f t="shared" si="95"/>
        <v>500</v>
      </c>
      <c r="R119" s="1">
        <v>0</v>
      </c>
      <c r="T119" s="1">
        <f t="shared" si="97"/>
        <v>500</v>
      </c>
      <c r="U119" s="1">
        <v>3000</v>
      </c>
      <c r="V119" s="1">
        <f t="shared" si="98"/>
        <v>2500</v>
      </c>
      <c r="W119" s="1">
        <f t="shared" si="99"/>
        <v>3000</v>
      </c>
      <c r="X119" s="1">
        <f>5000+75239.31</f>
        <v>80239.31</v>
      </c>
      <c r="Y119" s="41">
        <f t="shared" si="67"/>
        <v>77239.31</v>
      </c>
      <c r="Z119" s="1">
        <f t="shared" si="68"/>
        <v>80239.31</v>
      </c>
      <c r="AA119" s="1">
        <v>70000</v>
      </c>
      <c r="AB119" s="1">
        <f t="shared" si="105"/>
        <v>-10239.309999999998</v>
      </c>
      <c r="AC119" s="1">
        <f t="shared" si="100"/>
        <v>70000</v>
      </c>
      <c r="AD119" s="41">
        <f>75000+861420.96</f>
        <v>936420.96</v>
      </c>
      <c r="AE119" s="1">
        <f t="shared" si="101"/>
        <v>866420.96</v>
      </c>
      <c r="AF119" s="1">
        <f t="shared" si="102"/>
        <v>936420.96</v>
      </c>
    </row>
    <row r="120" spans="1:32" outlineLevel="2">
      <c r="A120" s="11">
        <v>15100</v>
      </c>
      <c r="B120" s="11">
        <v>22706</v>
      </c>
      <c r="C120" s="42" t="s">
        <v>899</v>
      </c>
      <c r="D120" s="7">
        <v>360000</v>
      </c>
      <c r="E120" s="7">
        <v>500000</v>
      </c>
      <c r="F120" s="7">
        <f t="shared" si="83"/>
        <v>-140000</v>
      </c>
      <c r="G120" s="7">
        <v>140000</v>
      </c>
      <c r="H120" s="7">
        <f t="shared" si="84"/>
        <v>500000</v>
      </c>
      <c r="I120" s="1">
        <v>419903</v>
      </c>
      <c r="J120" s="1">
        <f t="shared" si="103"/>
        <v>80097</v>
      </c>
      <c r="K120" s="1">
        <v>0</v>
      </c>
      <c r="L120" s="1">
        <f t="shared" si="104"/>
        <v>500000</v>
      </c>
      <c r="N120" s="1">
        <f t="shared" si="93"/>
        <v>500000</v>
      </c>
      <c r="O120" s="1"/>
      <c r="P120" s="1">
        <v>-200000</v>
      </c>
      <c r="Q120" s="1">
        <f t="shared" si="95"/>
        <v>300000</v>
      </c>
      <c r="R120" s="1">
        <v>20000</v>
      </c>
      <c r="T120" s="1">
        <f t="shared" si="97"/>
        <v>300000</v>
      </c>
      <c r="U120" s="1">
        <f t="shared" si="97"/>
        <v>320000</v>
      </c>
      <c r="V120" s="1">
        <f t="shared" si="98"/>
        <v>20000</v>
      </c>
      <c r="W120" s="1">
        <f t="shared" si="99"/>
        <v>320000</v>
      </c>
      <c r="X120" s="1">
        <f>335000+50000</f>
        <v>385000</v>
      </c>
      <c r="Y120" s="41">
        <f t="shared" si="67"/>
        <v>65000</v>
      </c>
      <c r="Z120" s="1">
        <f t="shared" si="68"/>
        <v>385000</v>
      </c>
      <c r="AA120" s="1">
        <v>270000</v>
      </c>
      <c r="AB120" s="1">
        <f t="shared" si="105"/>
        <v>-115000</v>
      </c>
      <c r="AC120" s="1">
        <f t="shared" si="100"/>
        <v>270000</v>
      </c>
      <c r="AD120" s="41">
        <v>290000</v>
      </c>
      <c r="AE120" s="1">
        <f t="shared" si="101"/>
        <v>20000</v>
      </c>
      <c r="AF120" s="1">
        <f t="shared" si="102"/>
        <v>290000</v>
      </c>
    </row>
    <row r="121" spans="1:32" outlineLevel="2">
      <c r="A121" s="11">
        <v>15100</v>
      </c>
      <c r="B121" s="11">
        <v>23020</v>
      </c>
      <c r="C121" s="11" t="s">
        <v>379</v>
      </c>
      <c r="D121" s="7">
        <v>3202.02</v>
      </c>
      <c r="E121" s="7"/>
      <c r="F121" s="7">
        <f t="shared" si="83"/>
        <v>3202.02</v>
      </c>
      <c r="G121" s="7"/>
      <c r="H121" s="7">
        <f t="shared" si="84"/>
        <v>3202.02</v>
      </c>
      <c r="I121" s="1"/>
      <c r="J121" s="1">
        <f t="shared" si="103"/>
        <v>3202.02</v>
      </c>
      <c r="K121" s="1"/>
      <c r="L121" s="1">
        <f t="shared" si="104"/>
        <v>3202.02</v>
      </c>
      <c r="N121" s="1">
        <f t="shared" si="93"/>
        <v>3202.02</v>
      </c>
      <c r="O121" s="1"/>
      <c r="Q121" s="1">
        <f t="shared" si="95"/>
        <v>3202.02</v>
      </c>
      <c r="T121" s="1">
        <f t="shared" si="97"/>
        <v>3202.02</v>
      </c>
      <c r="U121" s="1">
        <f t="shared" si="97"/>
        <v>3202.02</v>
      </c>
      <c r="V121" s="1">
        <f t="shared" si="98"/>
        <v>0</v>
      </c>
      <c r="W121" s="1">
        <f t="shared" si="99"/>
        <v>3202.02</v>
      </c>
      <c r="X121" s="1">
        <v>1000</v>
      </c>
      <c r="Y121" s="41">
        <f t="shared" si="67"/>
        <v>-2202.02</v>
      </c>
      <c r="Z121" s="1">
        <f t="shared" si="68"/>
        <v>1000</v>
      </c>
      <c r="AA121" s="1">
        <v>500</v>
      </c>
      <c r="AB121" s="1">
        <f t="shared" si="105"/>
        <v>-500</v>
      </c>
      <c r="AC121" s="1">
        <f t="shared" si="100"/>
        <v>500</v>
      </c>
      <c r="AD121" s="41">
        <v>500</v>
      </c>
      <c r="AE121" s="1">
        <f t="shared" si="101"/>
        <v>0</v>
      </c>
      <c r="AF121" s="1">
        <f t="shared" si="102"/>
        <v>500</v>
      </c>
    </row>
    <row r="122" spans="1:32" outlineLevel="2">
      <c r="A122" s="11">
        <v>15100</v>
      </c>
      <c r="B122" s="11">
        <v>23120</v>
      </c>
      <c r="C122" s="11" t="s">
        <v>70</v>
      </c>
      <c r="D122" s="7">
        <v>3202.02</v>
      </c>
      <c r="E122" s="7"/>
      <c r="F122" s="7">
        <f t="shared" si="83"/>
        <v>3202.02</v>
      </c>
      <c r="G122" s="7">
        <v>-1202.02</v>
      </c>
      <c r="H122" s="7">
        <f t="shared" si="84"/>
        <v>2000</v>
      </c>
      <c r="I122" s="1"/>
      <c r="J122" s="1">
        <f t="shared" si="103"/>
        <v>2000</v>
      </c>
      <c r="K122" s="1"/>
      <c r="L122" s="1">
        <f t="shared" si="104"/>
        <v>2000</v>
      </c>
      <c r="N122" s="1">
        <f t="shared" si="93"/>
        <v>2000</v>
      </c>
      <c r="O122" s="1"/>
      <c r="Q122" s="1">
        <f t="shared" si="95"/>
        <v>2000</v>
      </c>
      <c r="T122" s="1">
        <f t="shared" si="97"/>
        <v>2000</v>
      </c>
      <c r="U122" s="1">
        <f t="shared" si="97"/>
        <v>2000</v>
      </c>
      <c r="V122" s="1">
        <f t="shared" si="98"/>
        <v>0</v>
      </c>
      <c r="W122" s="1">
        <f t="shared" si="99"/>
        <v>2000</v>
      </c>
      <c r="X122" s="1">
        <v>1000</v>
      </c>
      <c r="Y122" s="41">
        <f t="shared" si="67"/>
        <v>-1000</v>
      </c>
      <c r="Z122" s="1">
        <f t="shared" si="68"/>
        <v>1000</v>
      </c>
      <c r="AA122" s="1">
        <v>500</v>
      </c>
      <c r="AB122" s="1">
        <f t="shared" si="105"/>
        <v>-500</v>
      </c>
      <c r="AC122" s="1">
        <f t="shared" si="100"/>
        <v>500</v>
      </c>
      <c r="AD122" s="41">
        <v>500</v>
      </c>
      <c r="AE122" s="1">
        <f t="shared" si="101"/>
        <v>0</v>
      </c>
      <c r="AF122" s="1">
        <f t="shared" si="102"/>
        <v>500</v>
      </c>
    </row>
    <row r="123" spans="1:32" outlineLevel="2">
      <c r="A123" s="11">
        <v>15100</v>
      </c>
      <c r="B123" s="11">
        <v>60000</v>
      </c>
      <c r="C123" s="39" t="s">
        <v>685</v>
      </c>
      <c r="D123" s="7"/>
      <c r="E123" s="7"/>
      <c r="F123" s="7"/>
      <c r="G123" s="7"/>
      <c r="H123" s="7"/>
      <c r="I123" s="1"/>
      <c r="J123" s="1"/>
      <c r="K123" s="1"/>
      <c r="L123" s="1"/>
      <c r="N123" s="1"/>
      <c r="O123" s="1"/>
      <c r="T123" s="1">
        <v>0</v>
      </c>
      <c r="U123" s="1">
        <v>1850000</v>
      </c>
      <c r="V123" s="1">
        <f t="shared" si="98"/>
        <v>1850000</v>
      </c>
      <c r="W123" s="1">
        <f t="shared" si="99"/>
        <v>1850000</v>
      </c>
      <c r="X123" s="1">
        <f>1600000</f>
        <v>1600000</v>
      </c>
      <c r="Y123" s="41">
        <f t="shared" si="67"/>
        <v>-250000</v>
      </c>
      <c r="Z123" s="1">
        <f t="shared" si="68"/>
        <v>1600000</v>
      </c>
      <c r="AA123" s="1">
        <v>1250000</v>
      </c>
      <c r="AB123" s="1">
        <f t="shared" si="105"/>
        <v>-350000</v>
      </c>
      <c r="AC123" s="1">
        <f t="shared" si="100"/>
        <v>1250000</v>
      </c>
      <c r="AD123" s="41">
        <v>0</v>
      </c>
      <c r="AE123" s="1">
        <f t="shared" si="101"/>
        <v>-1250000</v>
      </c>
      <c r="AF123" s="1">
        <f t="shared" si="102"/>
        <v>0</v>
      </c>
    </row>
    <row r="124" spans="1:32" outlineLevel="2">
      <c r="A124" s="11">
        <v>15100</v>
      </c>
      <c r="B124" s="11">
        <v>60900</v>
      </c>
      <c r="C124" s="42" t="s">
        <v>793</v>
      </c>
      <c r="D124" s="7"/>
      <c r="E124" s="7"/>
      <c r="F124" s="7"/>
      <c r="G124" s="7"/>
      <c r="H124" s="7"/>
      <c r="I124" s="1"/>
      <c r="J124" s="1"/>
      <c r="K124" s="1"/>
      <c r="L124" s="1"/>
      <c r="N124" s="1"/>
      <c r="O124" s="1"/>
      <c r="Q124" s="1">
        <v>0</v>
      </c>
      <c r="R124" s="1">
        <v>18000</v>
      </c>
      <c r="S124" s="1">
        <f>R124-Q124</f>
        <v>18000</v>
      </c>
      <c r="T124" s="1">
        <f>Q124+S124</f>
        <v>18000</v>
      </c>
      <c r="U124" s="1">
        <v>0</v>
      </c>
      <c r="V124" s="1">
        <f>U124-T124</f>
        <v>-18000</v>
      </c>
      <c r="W124" s="1">
        <f>T124+V124</f>
        <v>0</v>
      </c>
      <c r="X124" s="1">
        <v>45302.400000000001</v>
      </c>
      <c r="Y124" s="41">
        <f>X124-W124</f>
        <v>45302.400000000001</v>
      </c>
      <c r="Z124" s="1">
        <f>W124+Y124</f>
        <v>45302.400000000001</v>
      </c>
      <c r="AA124" s="1">
        <f>60000+24000+100000+20000+12000+40000</f>
        <v>256000</v>
      </c>
      <c r="AB124" s="1">
        <f>AA124-Z124</f>
        <v>210697.60000000001</v>
      </c>
      <c r="AC124" s="1">
        <f>Z124+AB124</f>
        <v>256000</v>
      </c>
      <c r="AD124" s="41">
        <f>241528.69+132425+33305+20000</f>
        <v>427258.69</v>
      </c>
      <c r="AE124" s="1">
        <f t="shared" si="101"/>
        <v>171258.69</v>
      </c>
      <c r="AF124" s="1">
        <f t="shared" si="102"/>
        <v>427258.69</v>
      </c>
    </row>
    <row r="125" spans="1:32" outlineLevel="2">
      <c r="A125" s="11">
        <v>15100</v>
      </c>
      <c r="B125" s="11">
        <v>61900</v>
      </c>
      <c r="C125" s="42" t="s">
        <v>936</v>
      </c>
      <c r="D125" s="7"/>
      <c r="E125" s="7"/>
      <c r="F125" s="7"/>
      <c r="G125" s="7"/>
      <c r="H125" s="7"/>
      <c r="I125" s="1"/>
      <c r="J125" s="1"/>
      <c r="K125" s="1"/>
      <c r="L125" s="1"/>
      <c r="N125" s="1"/>
      <c r="O125" s="1"/>
      <c r="T125" s="1"/>
      <c r="V125" s="1"/>
      <c r="W125" s="1"/>
      <c r="Y125" s="41"/>
      <c r="Z125" s="1"/>
      <c r="AB125" s="1"/>
      <c r="AC125" s="1">
        <v>0</v>
      </c>
      <c r="AD125" s="41">
        <f>23000+23000+20000</f>
        <v>66000</v>
      </c>
      <c r="AE125" s="1">
        <f t="shared" ref="AE125" si="112">AD125-AC125</f>
        <v>66000</v>
      </c>
      <c r="AF125" s="1">
        <f t="shared" ref="AF125" si="113">AC125+AE125</f>
        <v>66000</v>
      </c>
    </row>
    <row r="126" spans="1:32" outlineLevel="2">
      <c r="A126" s="11">
        <v>15100</v>
      </c>
      <c r="B126" s="11">
        <v>62300</v>
      </c>
      <c r="C126" s="42" t="s">
        <v>817</v>
      </c>
      <c r="D126" s="7"/>
      <c r="E126" s="7"/>
      <c r="F126" s="7"/>
      <c r="G126" s="7"/>
      <c r="H126" s="7"/>
      <c r="I126" s="1"/>
      <c r="J126" s="1"/>
      <c r="K126" s="1"/>
      <c r="L126" s="1"/>
      <c r="N126" s="1"/>
      <c r="O126" s="1"/>
      <c r="T126" s="1"/>
      <c r="V126" s="1"/>
      <c r="W126" s="1">
        <v>0</v>
      </c>
      <c r="X126" s="1">
        <v>8000</v>
      </c>
      <c r="Y126" s="41">
        <f t="shared" ref="Y126" si="114">X126-W126</f>
        <v>8000</v>
      </c>
      <c r="Z126" s="1">
        <f t="shared" ref="Z126" si="115">W126+Y126</f>
        <v>8000</v>
      </c>
      <c r="AA126" s="1">
        <v>3700</v>
      </c>
      <c r="AB126" s="1">
        <f t="shared" si="105"/>
        <v>-4300</v>
      </c>
      <c r="AC126" s="1">
        <f t="shared" si="100"/>
        <v>3700</v>
      </c>
      <c r="AD126" s="41">
        <v>0</v>
      </c>
      <c r="AE126" s="1">
        <f t="shared" si="101"/>
        <v>-3700</v>
      </c>
      <c r="AF126" s="1">
        <f t="shared" si="102"/>
        <v>0</v>
      </c>
    </row>
    <row r="127" spans="1:32" outlineLevel="2">
      <c r="A127" s="11">
        <v>15100</v>
      </c>
      <c r="B127" s="11">
        <v>62400</v>
      </c>
      <c r="C127" s="42" t="s">
        <v>827</v>
      </c>
      <c r="D127" s="7"/>
      <c r="E127" s="7"/>
      <c r="F127" s="7"/>
      <c r="G127" s="7"/>
      <c r="H127" s="7"/>
      <c r="I127" s="1"/>
      <c r="J127" s="1"/>
      <c r="K127" s="1"/>
      <c r="L127" s="1"/>
      <c r="N127" s="1"/>
      <c r="O127" s="1"/>
      <c r="T127" s="1"/>
      <c r="V127" s="1"/>
      <c r="W127" s="1"/>
      <c r="Y127" s="41"/>
      <c r="Z127" s="1">
        <v>0</v>
      </c>
      <c r="AA127" s="1">
        <v>11117</v>
      </c>
      <c r="AB127" s="1">
        <f t="shared" si="105"/>
        <v>11117</v>
      </c>
      <c r="AC127" s="1">
        <f t="shared" si="100"/>
        <v>11117</v>
      </c>
      <c r="AD127" s="41">
        <v>0</v>
      </c>
      <c r="AE127" s="1">
        <f t="shared" si="101"/>
        <v>-11117</v>
      </c>
      <c r="AF127" s="1">
        <f t="shared" si="102"/>
        <v>0</v>
      </c>
    </row>
    <row r="128" spans="1:32" outlineLevel="2">
      <c r="A128" s="11">
        <v>15100</v>
      </c>
      <c r="B128" s="11">
        <v>62500</v>
      </c>
      <c r="C128" s="42" t="s">
        <v>932</v>
      </c>
      <c r="D128" s="7"/>
      <c r="E128" s="7"/>
      <c r="F128" s="7"/>
      <c r="G128" s="7"/>
      <c r="H128" s="7"/>
      <c r="I128" s="1"/>
      <c r="J128" s="1"/>
      <c r="K128" s="1"/>
      <c r="L128" s="1"/>
      <c r="N128" s="1"/>
      <c r="O128" s="1"/>
      <c r="T128" s="1"/>
      <c r="V128" s="1"/>
      <c r="W128" s="1"/>
      <c r="Y128" s="41"/>
      <c r="Z128" s="1"/>
      <c r="AB128" s="1"/>
      <c r="AC128" s="1">
        <v>0</v>
      </c>
      <c r="AD128" s="41">
        <v>5000</v>
      </c>
      <c r="AE128" s="1">
        <f t="shared" ref="AE128" si="116">AD128-AC128</f>
        <v>5000</v>
      </c>
      <c r="AF128" s="1">
        <f t="shared" ref="AF128" si="117">AC128+AE128</f>
        <v>5000</v>
      </c>
    </row>
    <row r="129" spans="1:32" outlineLevel="2">
      <c r="A129" s="11">
        <v>15100</v>
      </c>
      <c r="B129" s="11">
        <v>68000</v>
      </c>
      <c r="C129" s="42" t="s">
        <v>851</v>
      </c>
      <c r="D129" s="7"/>
      <c r="E129" s="7"/>
      <c r="F129" s="7"/>
      <c r="G129" s="7"/>
      <c r="H129" s="7"/>
      <c r="I129" s="1"/>
      <c r="J129" s="1"/>
      <c r="K129" s="1"/>
      <c r="L129" s="1"/>
      <c r="N129" s="1"/>
      <c r="O129" s="1"/>
      <c r="T129" s="1"/>
      <c r="V129" s="1"/>
      <c r="W129" s="1"/>
      <c r="Y129" s="41"/>
      <c r="Z129" s="1">
        <v>0</v>
      </c>
      <c r="AA129" s="1">
        <v>75000</v>
      </c>
      <c r="AB129" s="1">
        <f t="shared" si="105"/>
        <v>75000</v>
      </c>
      <c r="AC129" s="1">
        <f t="shared" si="100"/>
        <v>75000</v>
      </c>
      <c r="AD129" s="41">
        <v>0</v>
      </c>
      <c r="AE129" s="1">
        <f t="shared" si="101"/>
        <v>-75000</v>
      </c>
      <c r="AF129" s="1">
        <f t="shared" si="102"/>
        <v>0</v>
      </c>
    </row>
    <row r="130" spans="1:32" outlineLevel="2">
      <c r="A130" s="11">
        <v>15100</v>
      </c>
      <c r="B130" s="11">
        <v>68900</v>
      </c>
      <c r="C130" s="42" t="s">
        <v>579</v>
      </c>
      <c r="D130" s="7"/>
      <c r="E130" s="7"/>
      <c r="F130" s="7"/>
      <c r="G130" s="7"/>
      <c r="H130" s="7"/>
      <c r="I130" s="1"/>
      <c r="J130" s="1"/>
      <c r="K130" s="1"/>
      <c r="L130" s="1"/>
      <c r="N130" s="1"/>
      <c r="O130" s="1"/>
      <c r="T130" s="1"/>
      <c r="V130" s="1"/>
      <c r="W130" s="1"/>
      <c r="Y130" s="41"/>
      <c r="Z130" s="1"/>
      <c r="AB130" s="1"/>
      <c r="AC130" s="1">
        <v>0</v>
      </c>
      <c r="AD130" s="41">
        <f>2300000-861420.96</f>
        <v>1438579.04</v>
      </c>
      <c r="AE130" s="1">
        <f t="shared" ref="AE130" si="118">AD130-AC130</f>
        <v>1438579.04</v>
      </c>
      <c r="AF130" s="1">
        <f t="shared" ref="AF130" si="119">AC130+AE130</f>
        <v>1438579.04</v>
      </c>
    </row>
    <row r="131" spans="1:32" outlineLevel="2">
      <c r="A131" s="11">
        <v>15100</v>
      </c>
      <c r="B131" s="11">
        <v>76100</v>
      </c>
      <c r="C131" s="39" t="s">
        <v>731</v>
      </c>
      <c r="D131" s="7"/>
      <c r="E131" s="7"/>
      <c r="F131" s="7"/>
      <c r="G131" s="7"/>
      <c r="H131" s="7"/>
      <c r="I131" s="1"/>
      <c r="J131" s="1"/>
      <c r="K131" s="1"/>
      <c r="L131" s="1"/>
      <c r="N131" s="1"/>
      <c r="O131" s="1"/>
      <c r="T131" s="1"/>
      <c r="V131" s="1"/>
      <c r="W131" s="1">
        <v>0</v>
      </c>
      <c r="X131" s="1">
        <v>52500</v>
      </c>
      <c r="Y131" s="41">
        <f t="shared" ref="Y131" si="120">X131-W131</f>
        <v>52500</v>
      </c>
      <c r="Z131" s="1">
        <f t="shared" ref="Z131" si="121">W131+Y131</f>
        <v>52500</v>
      </c>
      <c r="AA131" s="1">
        <v>4338</v>
      </c>
      <c r="AB131" s="1">
        <f t="shared" si="105"/>
        <v>-48162</v>
      </c>
      <c r="AC131" s="1">
        <f t="shared" si="100"/>
        <v>4338</v>
      </c>
      <c r="AD131" s="41">
        <f>AC131-2581.31</f>
        <v>1756.69</v>
      </c>
      <c r="AE131" s="1">
        <f t="shared" si="101"/>
        <v>-2581.31</v>
      </c>
      <c r="AF131" s="1">
        <f t="shared" si="102"/>
        <v>1756.69</v>
      </c>
    </row>
    <row r="132" spans="1:32" outlineLevel="2">
      <c r="A132" s="11">
        <v>15100</v>
      </c>
      <c r="B132" s="11">
        <v>76200</v>
      </c>
      <c r="C132" s="39" t="s">
        <v>933</v>
      </c>
      <c r="D132" s="7"/>
      <c r="E132" s="7"/>
      <c r="F132" s="7"/>
      <c r="G132" s="7"/>
      <c r="H132" s="7"/>
      <c r="I132" s="1"/>
      <c r="J132" s="1"/>
      <c r="K132" s="1"/>
      <c r="L132" s="1"/>
      <c r="N132" s="1"/>
      <c r="O132" s="1"/>
      <c r="T132" s="1"/>
      <c r="V132" s="1"/>
      <c r="W132" s="1"/>
      <c r="Y132" s="41"/>
      <c r="Z132" s="1"/>
      <c r="AB132" s="1"/>
      <c r="AC132" s="1">
        <v>0</v>
      </c>
      <c r="AD132" s="41">
        <v>0</v>
      </c>
      <c r="AE132" s="1">
        <f t="shared" ref="AE132" si="122">AD132-AC132</f>
        <v>0</v>
      </c>
      <c r="AF132" s="1">
        <f t="shared" ref="AF132" si="123">AC132+AE132</f>
        <v>0</v>
      </c>
    </row>
    <row r="133" spans="1:32" s="2" customFormat="1" outlineLevel="1">
      <c r="A133" s="9" t="s">
        <v>4</v>
      </c>
      <c r="B133" s="9"/>
      <c r="C133" s="9" t="s">
        <v>31</v>
      </c>
      <c r="D133" s="8">
        <f t="shared" ref="D133:J133" si="124">SUBTOTAL(9,D96:D122)</f>
        <v>1748772.55</v>
      </c>
      <c r="E133" s="8">
        <f t="shared" si="124"/>
        <v>1740508.71</v>
      </c>
      <c r="F133" s="8">
        <f t="shared" si="124"/>
        <v>8263.8400000000765</v>
      </c>
      <c r="G133" s="8">
        <f t="shared" si="124"/>
        <v>26173.180000000011</v>
      </c>
      <c r="H133" s="8">
        <f t="shared" si="124"/>
        <v>1774945.7300000002</v>
      </c>
      <c r="I133" s="8">
        <f>SUBTOTAL(9,I96:I122)</f>
        <v>1387179.0299999998</v>
      </c>
      <c r="J133" s="8">
        <f t="shared" si="124"/>
        <v>387766.7</v>
      </c>
      <c r="K133" s="8">
        <f>SUBTOTAL(9,K96:K122)</f>
        <v>-291467.67999999993</v>
      </c>
      <c r="L133" s="8">
        <f t="shared" ref="L133:Q133" si="125">SUBTOTAL(9,L96:L131)</f>
        <v>1483478.0499999998</v>
      </c>
      <c r="M133" s="8">
        <f t="shared" si="125"/>
        <v>-80063.930000000022</v>
      </c>
      <c r="N133" s="8">
        <f t="shared" si="125"/>
        <v>1403414.1199999999</v>
      </c>
      <c r="O133" s="8">
        <f t="shared" si="125"/>
        <v>876534.99</v>
      </c>
      <c r="P133" s="8">
        <f t="shared" si="125"/>
        <v>-210677.11</v>
      </c>
      <c r="Q133" s="8">
        <f t="shared" si="125"/>
        <v>1192737.01</v>
      </c>
      <c r="R133" s="3"/>
      <c r="S133" s="8">
        <f t="shared" ref="S133:AB133" si="126">SUBTOTAL(9,S96:S131)</f>
        <v>65844.580000000016</v>
      </c>
      <c r="T133" s="8">
        <f t="shared" si="126"/>
        <v>1258581.5900000003</v>
      </c>
      <c r="U133" s="8">
        <f t="shared" si="126"/>
        <v>3274240.2300000004</v>
      </c>
      <c r="V133" s="8">
        <f t="shared" si="126"/>
        <v>2015658.6400000001</v>
      </c>
      <c r="W133" s="8">
        <f t="shared" si="126"/>
        <v>3274240.2300000004</v>
      </c>
      <c r="X133" s="8">
        <f t="shared" si="126"/>
        <v>3205815.4299999997</v>
      </c>
      <c r="Y133" s="8">
        <f t="shared" si="126"/>
        <v>-68424.800000000017</v>
      </c>
      <c r="Z133" s="8">
        <f t="shared" si="126"/>
        <v>3205815.4299999997</v>
      </c>
      <c r="AA133" s="8">
        <f t="shared" si="126"/>
        <v>2943743.64</v>
      </c>
      <c r="AB133" s="8">
        <f t="shared" si="126"/>
        <v>-262071.79000000004</v>
      </c>
      <c r="AC133" s="8">
        <f>SUBTOTAL(9,AC96:AC132)</f>
        <v>2943743.64</v>
      </c>
      <c r="AD133" s="8">
        <f t="shared" ref="AD133:AF133" si="127">SUBTOTAL(9,AD96:AD132)</f>
        <v>4298093.6100000003</v>
      </c>
      <c r="AE133" s="8">
        <f t="shared" si="127"/>
        <v>1354349.97</v>
      </c>
      <c r="AF133" s="8">
        <f t="shared" si="127"/>
        <v>4298093.6100000003</v>
      </c>
    </row>
    <row r="134" spans="1:32" outlineLevel="2">
      <c r="A134" s="11">
        <v>15320</v>
      </c>
      <c r="B134" s="11">
        <v>21000</v>
      </c>
      <c r="C134" s="11" t="s">
        <v>495</v>
      </c>
      <c r="D134" s="7">
        <v>400000</v>
      </c>
      <c r="E134" s="7">
        <v>300000</v>
      </c>
      <c r="F134" s="7">
        <f t="shared" ref="F134:F160" si="128">D134-E134</f>
        <v>100000</v>
      </c>
      <c r="G134" s="7">
        <v>-100000</v>
      </c>
      <c r="H134" s="7">
        <f>D134+G134</f>
        <v>300000</v>
      </c>
      <c r="I134" s="1"/>
      <c r="J134" s="1">
        <f>H134-I134</f>
        <v>300000</v>
      </c>
      <c r="K134" s="1"/>
      <c r="L134" s="1">
        <f>H134+K134</f>
        <v>300000</v>
      </c>
      <c r="M134" s="7">
        <v>50000</v>
      </c>
      <c r="N134" s="1">
        <f>L134+M134</f>
        <v>350000</v>
      </c>
      <c r="O134" s="1"/>
      <c r="P134" s="1">
        <v>-20000</v>
      </c>
      <c r="Q134" s="1">
        <f>N134+P134</f>
        <v>330000</v>
      </c>
      <c r="T134" s="1">
        <f>Q134+S134</f>
        <v>330000</v>
      </c>
      <c r="U134" s="1">
        <v>330000</v>
      </c>
      <c r="V134" s="1">
        <v>0</v>
      </c>
      <c r="W134" s="1">
        <f t="shared" ref="W134:W136" si="129">T134+V134</f>
        <v>330000</v>
      </c>
      <c r="X134" s="1">
        <v>330000</v>
      </c>
      <c r="Y134" s="41">
        <f t="shared" ref="Y134" si="130">X134-W134</f>
        <v>0</v>
      </c>
      <c r="Z134" s="1">
        <f t="shared" ref="Z134" si="131">W134+Y134</f>
        <v>330000</v>
      </c>
      <c r="AA134" s="1">
        <v>330000</v>
      </c>
      <c r="AB134" s="1">
        <f t="shared" si="105"/>
        <v>0</v>
      </c>
      <c r="AC134" s="1">
        <f t="shared" ref="AC134:AC136" si="132">Z134+AB134</f>
        <v>330000</v>
      </c>
      <c r="AD134" s="41">
        <v>280000</v>
      </c>
      <c r="AE134" s="1">
        <f t="shared" si="101"/>
        <v>-50000</v>
      </c>
      <c r="AF134" s="1">
        <f t="shared" ref="AF134:AF136" si="133">AC134+AE134</f>
        <v>280000</v>
      </c>
    </row>
    <row r="135" spans="1:32" outlineLevel="2">
      <c r="A135" s="11">
        <v>15320</v>
      </c>
      <c r="B135" s="11">
        <v>60900</v>
      </c>
      <c r="C135" s="42" t="s">
        <v>937</v>
      </c>
      <c r="D135" s="7"/>
      <c r="E135" s="7"/>
      <c r="F135" s="7"/>
      <c r="G135" s="7"/>
      <c r="H135" s="7"/>
      <c r="I135" s="1"/>
      <c r="J135" s="1"/>
      <c r="K135" s="1"/>
      <c r="L135" s="1"/>
      <c r="N135" s="1"/>
      <c r="O135" s="1"/>
      <c r="T135" s="1"/>
      <c r="V135" s="1"/>
      <c r="W135" s="1"/>
      <c r="Y135" s="41"/>
      <c r="Z135" s="1"/>
      <c r="AB135" s="1"/>
      <c r="AC135" s="1">
        <v>100302.53</v>
      </c>
      <c r="AD135" s="41">
        <f>13095.23+544.5+254739.02+225000</f>
        <v>493378.75</v>
      </c>
      <c r="AE135" s="1">
        <f t="shared" ref="AE135" si="134">AD135-AC135</f>
        <v>393076.22</v>
      </c>
      <c r="AF135" s="1">
        <f t="shared" ref="AF135" si="135">AC135+AE135</f>
        <v>493378.75</v>
      </c>
    </row>
    <row r="136" spans="1:32" outlineLevel="2">
      <c r="A136" s="11">
        <v>15320</v>
      </c>
      <c r="B136" s="11">
        <v>76100</v>
      </c>
      <c r="C136" s="39" t="s">
        <v>731</v>
      </c>
      <c r="D136" s="7"/>
      <c r="E136" s="7"/>
      <c r="F136" s="7"/>
      <c r="G136" s="7"/>
      <c r="H136" s="7"/>
      <c r="I136" s="1"/>
      <c r="J136" s="1"/>
      <c r="K136" s="1"/>
      <c r="L136" s="1"/>
      <c r="N136" s="1"/>
      <c r="O136" s="1"/>
      <c r="T136" s="1">
        <v>0</v>
      </c>
      <c r="U136" s="1">
        <f>538.46</f>
        <v>538.46</v>
      </c>
      <c r="V136" s="1">
        <f t="shared" ref="V136" si="136">U136-T136</f>
        <v>538.46</v>
      </c>
      <c r="W136" s="1">
        <f t="shared" si="129"/>
        <v>538.46</v>
      </c>
      <c r="X136" s="1">
        <v>274211.53999999998</v>
      </c>
      <c r="Y136" s="41">
        <f t="shared" ref="Y136:Y145" si="137">X136-W136</f>
        <v>273673.07999999996</v>
      </c>
      <c r="Z136" s="1">
        <f t="shared" ref="Z136" si="138">W136+Y136</f>
        <v>274211.53999999998</v>
      </c>
      <c r="AA136" s="1">
        <v>274211.53999999998</v>
      </c>
      <c r="AB136" s="1">
        <f t="shared" si="105"/>
        <v>0</v>
      </c>
      <c r="AC136" s="1">
        <f t="shared" si="132"/>
        <v>274211.53999999998</v>
      </c>
      <c r="AD136" s="41">
        <f>224933-906.13</f>
        <v>224026.87</v>
      </c>
      <c r="AE136" s="1">
        <f t="shared" si="101"/>
        <v>-50184.669999999984</v>
      </c>
      <c r="AF136" s="1">
        <f t="shared" si="133"/>
        <v>224026.87</v>
      </c>
    </row>
    <row r="137" spans="1:32" outlineLevel="2">
      <c r="A137" s="9" t="s">
        <v>5</v>
      </c>
      <c r="B137" s="9"/>
      <c r="C137" s="9" t="s">
        <v>32</v>
      </c>
      <c r="D137" s="8">
        <f t="shared" ref="D137:Q137" si="139">SUBTOTAL(9,D134:D134)</f>
        <v>400000</v>
      </c>
      <c r="E137" s="8">
        <f t="shared" si="139"/>
        <v>300000</v>
      </c>
      <c r="F137" s="8">
        <f t="shared" si="139"/>
        <v>100000</v>
      </c>
      <c r="G137" s="8">
        <f t="shared" si="139"/>
        <v>-100000</v>
      </c>
      <c r="H137" s="8">
        <f t="shared" si="139"/>
        <v>300000</v>
      </c>
      <c r="I137" s="8">
        <f t="shared" si="139"/>
        <v>0</v>
      </c>
      <c r="J137" s="8">
        <f t="shared" si="139"/>
        <v>300000</v>
      </c>
      <c r="K137" s="8">
        <f t="shared" si="139"/>
        <v>0</v>
      </c>
      <c r="L137" s="8">
        <f t="shared" si="139"/>
        <v>300000</v>
      </c>
      <c r="M137" s="8">
        <f t="shared" si="139"/>
        <v>50000</v>
      </c>
      <c r="N137" s="8">
        <f t="shared" si="139"/>
        <v>350000</v>
      </c>
      <c r="O137" s="8">
        <f t="shared" si="139"/>
        <v>0</v>
      </c>
      <c r="P137" s="8">
        <f t="shared" si="139"/>
        <v>-20000</v>
      </c>
      <c r="Q137" s="8">
        <f t="shared" si="139"/>
        <v>330000</v>
      </c>
      <c r="S137" s="8">
        <f>SUBTOTAL(9,S134:S134)</f>
        <v>0</v>
      </c>
      <c r="T137" s="8">
        <f t="shared" ref="T137:AF137" si="140">SUBTOTAL(9,T134:T136)</f>
        <v>330000</v>
      </c>
      <c r="U137" s="8">
        <f t="shared" si="140"/>
        <v>330538.46000000002</v>
      </c>
      <c r="V137" s="8">
        <f t="shared" si="140"/>
        <v>538.46</v>
      </c>
      <c r="W137" s="8">
        <f t="shared" si="140"/>
        <v>330538.46000000002</v>
      </c>
      <c r="X137" s="8">
        <f t="shared" si="140"/>
        <v>604211.54</v>
      </c>
      <c r="Y137" s="8">
        <f t="shared" si="140"/>
        <v>273673.07999999996</v>
      </c>
      <c r="Z137" s="8">
        <f t="shared" si="140"/>
        <v>604211.54</v>
      </c>
      <c r="AA137" s="8">
        <f t="shared" si="140"/>
        <v>604211.54</v>
      </c>
      <c r="AB137" s="8">
        <f t="shared" si="140"/>
        <v>0</v>
      </c>
      <c r="AC137" s="8">
        <f t="shared" si="140"/>
        <v>704514.07000000007</v>
      </c>
      <c r="AD137" s="8">
        <f t="shared" si="140"/>
        <v>997405.62</v>
      </c>
      <c r="AE137" s="8">
        <f t="shared" si="140"/>
        <v>292891.55</v>
      </c>
      <c r="AF137" s="8">
        <f t="shared" si="140"/>
        <v>997405.62</v>
      </c>
    </row>
    <row r="138" spans="1:32" outlineLevel="2">
      <c r="A138" s="11">
        <v>16210</v>
      </c>
      <c r="B138" s="11">
        <v>22700</v>
      </c>
      <c r="C138" s="11" t="s">
        <v>404</v>
      </c>
      <c r="D138" s="7">
        <v>468197.29</v>
      </c>
      <c r="E138" s="7"/>
      <c r="F138" s="7">
        <f t="shared" si="128"/>
        <v>468197.29</v>
      </c>
      <c r="G138" s="7"/>
      <c r="H138" s="7">
        <f>D138+G138</f>
        <v>468197.29</v>
      </c>
      <c r="I138" s="1">
        <v>486000</v>
      </c>
      <c r="J138" s="1">
        <f>H138-I138</f>
        <v>-17802.710000000021</v>
      </c>
      <c r="K138" s="1">
        <v>17802.71</v>
      </c>
      <c r="L138" s="1">
        <f>H138+K138</f>
        <v>486000</v>
      </c>
      <c r="M138" s="7">
        <v>100000</v>
      </c>
      <c r="N138" s="1">
        <f>L138+M138</f>
        <v>586000</v>
      </c>
      <c r="O138" s="1"/>
      <c r="P138" s="1">
        <f>612362.8-N138</f>
        <v>26362.800000000047</v>
      </c>
      <c r="Q138" s="1">
        <f>N138+P138</f>
        <v>612362.80000000005</v>
      </c>
      <c r="R138" s="1">
        <v>637128.35</v>
      </c>
      <c r="S138" s="1">
        <f>R138-Q138</f>
        <v>24765.54999999993</v>
      </c>
      <c r="T138" s="1">
        <f t="shared" ref="T138:U205" si="141">Q138+S138</f>
        <v>637128.35</v>
      </c>
      <c r="U138" s="1">
        <v>681880.02</v>
      </c>
      <c r="V138" s="1">
        <f t="shared" ref="V138:V143" si="142">U138-T138</f>
        <v>44751.670000000042</v>
      </c>
      <c r="W138" s="1">
        <f t="shared" ref="W138:W145" si="143">T138+V138</f>
        <v>681880.02</v>
      </c>
      <c r="X138" s="1">
        <v>726631.69</v>
      </c>
      <c r="Y138" s="41">
        <f t="shared" ref="Y138" si="144">X138-W138</f>
        <v>44751.669999999925</v>
      </c>
      <c r="Z138" s="1">
        <f t="shared" ref="Z138" si="145">W138+Y138</f>
        <v>726631.69</v>
      </c>
      <c r="AA138" s="1">
        <v>771383.35</v>
      </c>
      <c r="AB138" s="1">
        <f>AA138-Z138</f>
        <v>44751.660000000033</v>
      </c>
      <c r="AC138" s="1">
        <f t="shared" ref="AC138:AC143" si="146">Z138+AB138</f>
        <v>771383.35</v>
      </c>
      <c r="AD138" s="41">
        <v>816135.02</v>
      </c>
      <c r="AE138" s="1">
        <f t="shared" si="101"/>
        <v>44751.670000000042</v>
      </c>
      <c r="AF138" s="1">
        <f t="shared" ref="AF138:AF143" si="147">AC138+AE138</f>
        <v>816135.02</v>
      </c>
    </row>
    <row r="139" spans="1:32" outlineLevel="2">
      <c r="A139" s="11">
        <v>16210</v>
      </c>
      <c r="B139" s="11">
        <v>22799</v>
      </c>
      <c r="C139" s="11" t="s">
        <v>405</v>
      </c>
      <c r="D139" s="7">
        <v>6625694.9000000004</v>
      </c>
      <c r="E139" s="7">
        <f>4851706.61+60000+1713000</f>
        <v>6624706.6100000003</v>
      </c>
      <c r="F139" s="7">
        <f t="shared" si="128"/>
        <v>988.29000000003725</v>
      </c>
      <c r="G139" s="7">
        <v>-988.29</v>
      </c>
      <c r="H139" s="7">
        <f>D139+G139</f>
        <v>6624706.6100000003</v>
      </c>
      <c r="I139" s="1">
        <f>4971199+1800000</f>
        <v>6771199</v>
      </c>
      <c r="J139" s="1">
        <f>H139-I139</f>
        <v>-146492.38999999966</v>
      </c>
      <c r="K139" s="1">
        <v>146492.39000000001</v>
      </c>
      <c r="L139" s="1">
        <f>H139+K139</f>
        <v>6771199</v>
      </c>
      <c r="N139" s="1">
        <f>L139+M139</f>
        <v>6771199</v>
      </c>
      <c r="O139" s="1"/>
      <c r="P139" s="1">
        <f>5276290+50000+1662540+280000-N139</f>
        <v>497631</v>
      </c>
      <c r="Q139" s="1">
        <f>N139+P139</f>
        <v>7268830</v>
      </c>
      <c r="R139" s="1">
        <v>0</v>
      </c>
      <c r="S139" s="1">
        <v>-58830</v>
      </c>
      <c r="T139" s="1">
        <f t="shared" si="141"/>
        <v>7210000</v>
      </c>
      <c r="U139" s="1">
        <f>(445000*12)</f>
        <v>5340000</v>
      </c>
      <c r="V139" s="1">
        <f t="shared" si="142"/>
        <v>-1870000</v>
      </c>
      <c r="W139" s="1">
        <f t="shared" si="143"/>
        <v>5340000</v>
      </c>
      <c r="X139" s="1">
        <v>5340000</v>
      </c>
      <c r="Y139" s="41">
        <f t="shared" si="137"/>
        <v>0</v>
      </c>
      <c r="Z139" s="1">
        <f t="shared" ref="Z139:Z142" si="148">W139+Y140</f>
        <v>5340000</v>
      </c>
      <c r="AA139" s="1">
        <v>5340000</v>
      </c>
      <c r="AB139" s="1">
        <f t="shared" ref="AB139:AB209" si="149">AA139-Z139</f>
        <v>0</v>
      </c>
      <c r="AC139" s="1">
        <f t="shared" si="146"/>
        <v>5340000</v>
      </c>
      <c r="AD139" s="41">
        <v>5340000</v>
      </c>
      <c r="AE139" s="1">
        <f t="shared" si="101"/>
        <v>0</v>
      </c>
      <c r="AF139" s="1">
        <f t="shared" si="147"/>
        <v>5340000</v>
      </c>
    </row>
    <row r="140" spans="1:32" outlineLevel="2">
      <c r="A140" s="11">
        <v>16210</v>
      </c>
      <c r="B140" s="11">
        <v>22799</v>
      </c>
      <c r="C140" s="11" t="s">
        <v>406</v>
      </c>
      <c r="D140" s="7">
        <v>140000</v>
      </c>
      <c r="E140" s="7"/>
      <c r="F140" s="7">
        <f t="shared" si="128"/>
        <v>140000</v>
      </c>
      <c r="G140" s="7">
        <v>-20000</v>
      </c>
      <c r="H140" s="7">
        <f>D140+G140</f>
        <v>120000</v>
      </c>
      <c r="I140" s="1"/>
      <c r="J140" s="1">
        <f>H140-I140</f>
        <v>120000</v>
      </c>
      <c r="K140" s="1"/>
      <c r="L140" s="1">
        <f>H140+K140</f>
        <v>120000</v>
      </c>
      <c r="M140" s="7">
        <v>50000</v>
      </c>
      <c r="N140" s="1">
        <f>L140+M140</f>
        <v>170000</v>
      </c>
      <c r="O140" s="1"/>
      <c r="P140" s="1">
        <v>-70000</v>
      </c>
      <c r="Q140" s="1">
        <f>N140+P140</f>
        <v>100000</v>
      </c>
      <c r="R140" s="1">
        <f>(5242.42*12)+16500</f>
        <v>79409.040000000008</v>
      </c>
      <c r="S140" s="1">
        <f>R140-Q140+16500</f>
        <v>-4090.9599999999919</v>
      </c>
      <c r="T140" s="1">
        <f t="shared" si="141"/>
        <v>95909.040000000008</v>
      </c>
      <c r="U140" s="1">
        <v>70000</v>
      </c>
      <c r="V140" s="1">
        <f t="shared" si="142"/>
        <v>-25909.040000000008</v>
      </c>
      <c r="W140" s="1">
        <f t="shared" si="143"/>
        <v>70000</v>
      </c>
      <c r="X140" s="1">
        <v>70000</v>
      </c>
      <c r="Y140" s="41">
        <f t="shared" si="137"/>
        <v>0</v>
      </c>
      <c r="Z140" s="1">
        <f t="shared" si="148"/>
        <v>70000</v>
      </c>
      <c r="AA140" s="1">
        <v>70000</v>
      </c>
      <c r="AB140" s="1">
        <f t="shared" si="149"/>
        <v>0</v>
      </c>
      <c r="AC140" s="1">
        <f t="shared" si="146"/>
        <v>70000</v>
      </c>
      <c r="AD140" s="41">
        <v>70000</v>
      </c>
      <c r="AE140" s="1">
        <f t="shared" si="101"/>
        <v>0</v>
      </c>
      <c r="AF140" s="1">
        <f t="shared" si="147"/>
        <v>70000</v>
      </c>
    </row>
    <row r="141" spans="1:32" outlineLevel="2">
      <c r="A141" s="11">
        <v>16210</v>
      </c>
      <c r="B141" s="11">
        <v>46701</v>
      </c>
      <c r="C141" s="42" t="s">
        <v>407</v>
      </c>
      <c r="D141" s="7">
        <v>16120</v>
      </c>
      <c r="E141" s="7"/>
      <c r="F141" s="7">
        <f t="shared" si="128"/>
        <v>16120</v>
      </c>
      <c r="G141" s="7"/>
      <c r="H141" s="7">
        <f>D141+G141</f>
        <v>16120</v>
      </c>
      <c r="I141" s="1"/>
      <c r="J141" s="1">
        <f>H141-I141</f>
        <v>16120</v>
      </c>
      <c r="K141" s="1"/>
      <c r="L141" s="1">
        <f>H141+K141</f>
        <v>16120</v>
      </c>
      <c r="M141" s="7">
        <f>19348.46-L141</f>
        <v>3228.4599999999991</v>
      </c>
      <c r="N141" s="1">
        <f>L141+M141</f>
        <v>19348.46</v>
      </c>
      <c r="O141" s="1"/>
      <c r="Q141" s="1">
        <f>N141+P141</f>
        <v>19348.46</v>
      </c>
      <c r="R141" s="1">
        <v>19328.849999999999</v>
      </c>
      <c r="S141" s="1">
        <v>50.6</v>
      </c>
      <c r="T141" s="1">
        <f t="shared" si="141"/>
        <v>19399.059999999998</v>
      </c>
      <c r="U141" s="1">
        <v>22245.86</v>
      </c>
      <c r="V141" s="1">
        <f t="shared" si="142"/>
        <v>2846.8000000000029</v>
      </c>
      <c r="W141" s="1">
        <f t="shared" si="143"/>
        <v>22245.86</v>
      </c>
      <c r="X141" s="1">
        <v>22245.86</v>
      </c>
      <c r="Y141" s="41">
        <f t="shared" si="137"/>
        <v>0</v>
      </c>
      <c r="Z141" s="1">
        <f t="shared" si="148"/>
        <v>22245.86</v>
      </c>
      <c r="AA141" s="1">
        <v>26398.5</v>
      </c>
      <c r="AB141" s="1">
        <f t="shared" si="149"/>
        <v>4152.6399999999994</v>
      </c>
      <c r="AC141" s="1">
        <f t="shared" si="146"/>
        <v>26398.5</v>
      </c>
      <c r="AD141" s="41">
        <f>26738.45+798882.27</f>
        <v>825620.72</v>
      </c>
      <c r="AE141" s="1">
        <f t="shared" si="101"/>
        <v>799222.22</v>
      </c>
      <c r="AF141" s="1">
        <f t="shared" si="147"/>
        <v>825620.72</v>
      </c>
    </row>
    <row r="142" spans="1:32" outlineLevel="2">
      <c r="A142" s="11">
        <v>16220</v>
      </c>
      <c r="B142" s="50">
        <v>22799</v>
      </c>
      <c r="C142" s="51" t="s">
        <v>720</v>
      </c>
      <c r="D142" s="7"/>
      <c r="E142" s="7"/>
      <c r="F142" s="7"/>
      <c r="G142" s="7"/>
      <c r="H142" s="7"/>
      <c r="I142" s="1"/>
      <c r="J142" s="1"/>
      <c r="K142" s="1"/>
      <c r="L142" s="1"/>
      <c r="N142" s="1"/>
      <c r="O142" s="1"/>
      <c r="T142" s="1">
        <v>0</v>
      </c>
      <c r="U142" s="1">
        <v>550000</v>
      </c>
      <c r="V142" s="1">
        <f t="shared" si="142"/>
        <v>550000</v>
      </c>
      <c r="W142" s="1">
        <f t="shared" si="143"/>
        <v>550000</v>
      </c>
      <c r="X142" s="1">
        <v>550000</v>
      </c>
      <c r="Y142" s="41">
        <f t="shared" si="137"/>
        <v>0</v>
      </c>
      <c r="Z142" s="1">
        <f t="shared" si="148"/>
        <v>550000</v>
      </c>
      <c r="AA142" s="1">
        <v>440000</v>
      </c>
      <c r="AB142" s="1">
        <f t="shared" si="149"/>
        <v>-110000</v>
      </c>
      <c r="AC142" s="1">
        <f t="shared" si="146"/>
        <v>440000</v>
      </c>
      <c r="AD142" s="41">
        <v>400000</v>
      </c>
      <c r="AE142" s="1">
        <f t="shared" si="101"/>
        <v>-40000</v>
      </c>
      <c r="AF142" s="1">
        <f t="shared" si="147"/>
        <v>400000</v>
      </c>
    </row>
    <row r="143" spans="1:32" outlineLevel="2">
      <c r="A143" s="11">
        <v>16230</v>
      </c>
      <c r="B143" s="50">
        <v>22799</v>
      </c>
      <c r="C143" s="51" t="s">
        <v>721</v>
      </c>
      <c r="D143" s="7"/>
      <c r="E143" s="7"/>
      <c r="F143" s="7"/>
      <c r="G143" s="7"/>
      <c r="H143" s="7"/>
      <c r="I143" s="1"/>
      <c r="J143" s="1"/>
      <c r="K143" s="1"/>
      <c r="L143" s="1"/>
      <c r="N143" s="1"/>
      <c r="O143" s="1"/>
      <c r="T143" s="1">
        <v>0</v>
      </c>
      <c r="U143" s="1">
        <v>1200000</v>
      </c>
      <c r="V143" s="1">
        <f t="shared" si="142"/>
        <v>1200000</v>
      </c>
      <c r="W143" s="1">
        <f t="shared" si="143"/>
        <v>1200000</v>
      </c>
      <c r="X143" s="1">
        <v>1200000</v>
      </c>
      <c r="Y143" s="41">
        <f t="shared" si="137"/>
        <v>0</v>
      </c>
      <c r="Z143" s="1">
        <v>1200000</v>
      </c>
      <c r="AA143" s="1">
        <v>1340000</v>
      </c>
      <c r="AB143" s="1">
        <f t="shared" si="149"/>
        <v>140000</v>
      </c>
      <c r="AC143" s="1">
        <f t="shared" si="146"/>
        <v>1340000</v>
      </c>
      <c r="AD143" s="41">
        <f>1340000+90000-798882.27</f>
        <v>631117.73</v>
      </c>
      <c r="AE143" s="1">
        <f t="shared" si="101"/>
        <v>-708882.27</v>
      </c>
      <c r="AF143" s="1">
        <f t="shared" si="147"/>
        <v>631117.73</v>
      </c>
    </row>
    <row r="144" spans="1:32" s="2" customFormat="1" outlineLevel="1">
      <c r="A144" s="9" t="s">
        <v>6</v>
      </c>
      <c r="B144" s="9"/>
      <c r="C144" s="9" t="s">
        <v>33</v>
      </c>
      <c r="D144" s="8">
        <f t="shared" ref="D144:Q144" si="150">SUBTOTAL(9,D138:D141)</f>
        <v>7250012.1900000004</v>
      </c>
      <c r="E144" s="8">
        <f t="shared" si="150"/>
        <v>6624706.6100000003</v>
      </c>
      <c r="F144" s="8">
        <f t="shared" si="150"/>
        <v>625305.58000000007</v>
      </c>
      <c r="G144" s="8">
        <f t="shared" si="150"/>
        <v>-20988.29</v>
      </c>
      <c r="H144" s="8">
        <f t="shared" si="150"/>
        <v>7229023.9000000004</v>
      </c>
      <c r="I144" s="8">
        <f t="shared" si="150"/>
        <v>7257199</v>
      </c>
      <c r="J144" s="8">
        <f t="shared" si="150"/>
        <v>-28175.099999999686</v>
      </c>
      <c r="K144" s="8">
        <f t="shared" si="150"/>
        <v>164295.1</v>
      </c>
      <c r="L144" s="8">
        <f t="shared" si="150"/>
        <v>7393319</v>
      </c>
      <c r="M144" s="8">
        <f t="shared" si="150"/>
        <v>153228.46</v>
      </c>
      <c r="N144" s="8">
        <f t="shared" si="150"/>
        <v>7546547.46</v>
      </c>
      <c r="O144" s="8">
        <f t="shared" si="150"/>
        <v>0</v>
      </c>
      <c r="P144" s="8">
        <f t="shared" si="150"/>
        <v>453993.80000000005</v>
      </c>
      <c r="Q144" s="8">
        <f t="shared" si="150"/>
        <v>8000541.2599999998</v>
      </c>
      <c r="R144" s="3"/>
      <c r="S144" s="8">
        <f>SUBTOTAL(9,S138:S141)</f>
        <v>-38104.810000000063</v>
      </c>
      <c r="T144" s="8">
        <f>SUBTOTAL(9,T138:T143)</f>
        <v>7962436.4499999993</v>
      </c>
      <c r="U144" s="8">
        <f t="shared" ref="U144:V144" si="151">SUBTOTAL(9,U138:U143)</f>
        <v>7864125.8799999999</v>
      </c>
      <c r="V144" s="8">
        <f t="shared" si="151"/>
        <v>-98310.570000000065</v>
      </c>
      <c r="W144" s="8">
        <f>SUBTOTAL(9,W138:W143)</f>
        <v>7864125.8799999999</v>
      </c>
      <c r="X144" s="8">
        <f t="shared" ref="X144:AB144" si="152">SUBTOTAL(9,X138:X143)</f>
        <v>7908877.5499999998</v>
      </c>
      <c r="Y144" s="8">
        <f t="shared" si="152"/>
        <v>44751.669999999925</v>
      </c>
      <c r="Z144" s="8">
        <f t="shared" si="152"/>
        <v>7908877.5499999998</v>
      </c>
      <c r="AA144" s="8">
        <f t="shared" si="152"/>
        <v>7987781.8499999996</v>
      </c>
      <c r="AB144" s="8">
        <f t="shared" si="152"/>
        <v>78904.300000000032</v>
      </c>
      <c r="AC144" s="8">
        <f>SUBTOTAL(9,AC138:AC143)</f>
        <v>7987781.8499999996</v>
      </c>
      <c r="AD144" s="8">
        <f>SUBTOTAL(9,AD138:AD143)</f>
        <v>8082873.4699999988</v>
      </c>
      <c r="AE144" s="8">
        <f t="shared" ref="AE144:AF144" si="153">SUBTOTAL(9,AE138:AE143)</f>
        <v>95091.62</v>
      </c>
      <c r="AF144" s="8">
        <f t="shared" si="153"/>
        <v>8082873.4699999988</v>
      </c>
    </row>
    <row r="145" spans="1:32" s="2" customFormat="1" outlineLevel="1">
      <c r="A145" s="42">
        <v>16300</v>
      </c>
      <c r="B145" s="52">
        <v>22799</v>
      </c>
      <c r="C145" s="52" t="s">
        <v>727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1"/>
      <c r="S145" s="47"/>
      <c r="T145" s="47">
        <v>0</v>
      </c>
      <c r="U145" s="47"/>
      <c r="V145" s="47">
        <v>0</v>
      </c>
      <c r="W145" s="41">
        <f t="shared" si="143"/>
        <v>0</v>
      </c>
      <c r="X145" s="41">
        <v>0</v>
      </c>
      <c r="Y145" s="41">
        <f t="shared" si="137"/>
        <v>0</v>
      </c>
      <c r="Z145" s="1">
        <f>W145+Y145</f>
        <v>0</v>
      </c>
      <c r="AA145" s="41">
        <v>0</v>
      </c>
      <c r="AB145" s="1">
        <f t="shared" si="149"/>
        <v>0</v>
      </c>
      <c r="AC145" s="1">
        <f t="shared" ref="AC145:AC160" si="154">Z145+AB145</f>
        <v>0</v>
      </c>
      <c r="AD145" s="41">
        <v>0</v>
      </c>
      <c r="AE145" s="1">
        <f t="shared" si="101"/>
        <v>0</v>
      </c>
      <c r="AF145" s="1">
        <f t="shared" ref="AF145" si="155">AC145+AE145</f>
        <v>0</v>
      </c>
    </row>
    <row r="146" spans="1:32" s="2" customFormat="1" outlineLevel="1">
      <c r="A146" s="9" t="s">
        <v>725</v>
      </c>
      <c r="B146" s="9"/>
      <c r="C146" s="9" t="s">
        <v>726</v>
      </c>
      <c r="D146" s="8">
        <f t="shared" ref="D146:Q146" si="156">SUBTOTAL(9,D140:D143)</f>
        <v>156120</v>
      </c>
      <c r="E146" s="8">
        <f t="shared" si="156"/>
        <v>0</v>
      </c>
      <c r="F146" s="8">
        <f t="shared" si="156"/>
        <v>156120</v>
      </c>
      <c r="G146" s="8">
        <f t="shared" si="156"/>
        <v>-20000</v>
      </c>
      <c r="H146" s="8">
        <f t="shared" si="156"/>
        <v>136120</v>
      </c>
      <c r="I146" s="8">
        <f t="shared" si="156"/>
        <v>0</v>
      </c>
      <c r="J146" s="8">
        <f t="shared" si="156"/>
        <v>136120</v>
      </c>
      <c r="K146" s="8">
        <f t="shared" si="156"/>
        <v>0</v>
      </c>
      <c r="L146" s="8">
        <f t="shared" si="156"/>
        <v>136120</v>
      </c>
      <c r="M146" s="8">
        <f t="shared" si="156"/>
        <v>53228.46</v>
      </c>
      <c r="N146" s="8">
        <f t="shared" si="156"/>
        <v>189348.46</v>
      </c>
      <c r="O146" s="8">
        <f t="shared" si="156"/>
        <v>0</v>
      </c>
      <c r="P146" s="8">
        <f t="shared" si="156"/>
        <v>-70000</v>
      </c>
      <c r="Q146" s="8">
        <f t="shared" si="156"/>
        <v>119348.45999999999</v>
      </c>
      <c r="R146" s="3"/>
      <c r="S146" s="8">
        <f>SUBTOTAL(9,S140:S143)</f>
        <v>-4040.3599999999919</v>
      </c>
      <c r="T146" s="8">
        <f>SUBTOTAL(9,T145)</f>
        <v>0</v>
      </c>
      <c r="U146" s="8">
        <f t="shared" ref="U146:AF146" si="157">SUBTOTAL(9,U145)</f>
        <v>0</v>
      </c>
      <c r="V146" s="8">
        <f t="shared" si="157"/>
        <v>0</v>
      </c>
      <c r="W146" s="8">
        <f t="shared" si="157"/>
        <v>0</v>
      </c>
      <c r="X146" s="47">
        <f t="shared" si="157"/>
        <v>0</v>
      </c>
      <c r="Y146" s="8">
        <f t="shared" si="157"/>
        <v>0</v>
      </c>
      <c r="Z146" s="8">
        <f t="shared" si="157"/>
        <v>0</v>
      </c>
      <c r="AA146" s="8">
        <f t="shared" si="157"/>
        <v>0</v>
      </c>
      <c r="AB146" s="8">
        <f t="shared" si="157"/>
        <v>0</v>
      </c>
      <c r="AC146" s="8">
        <f t="shared" si="157"/>
        <v>0</v>
      </c>
      <c r="AD146" s="8">
        <f t="shared" si="157"/>
        <v>0</v>
      </c>
      <c r="AE146" s="8">
        <f t="shared" si="157"/>
        <v>0</v>
      </c>
      <c r="AF146" s="8">
        <f t="shared" si="157"/>
        <v>0</v>
      </c>
    </row>
    <row r="147" spans="1:32" s="2" customFormat="1" outlineLevel="1">
      <c r="A147" s="13">
        <v>16400</v>
      </c>
      <c r="B147" s="11">
        <v>12005</v>
      </c>
      <c r="C147" s="42" t="s">
        <v>794</v>
      </c>
      <c r="D147" s="10">
        <v>0</v>
      </c>
      <c r="E147" s="7">
        <v>9068.64</v>
      </c>
      <c r="F147" s="7">
        <f>D147-E147</f>
        <v>-9068.64</v>
      </c>
      <c r="G147" s="7">
        <v>9068.64</v>
      </c>
      <c r="H147" s="7">
        <f>D147+G147</f>
        <v>9068.64</v>
      </c>
      <c r="I147" s="16">
        <v>8378.58</v>
      </c>
      <c r="J147" s="1">
        <f>H147-I147</f>
        <v>690.05999999999949</v>
      </c>
      <c r="K147" s="16">
        <v>-690.06</v>
      </c>
      <c r="L147" s="21">
        <f>H147+K147</f>
        <v>8378.58</v>
      </c>
      <c r="M147" s="10">
        <f>15357.16-L147</f>
        <v>6978.58</v>
      </c>
      <c r="N147" s="1">
        <f t="shared" ref="N147:N160" si="158">L147+M147</f>
        <v>15357.16</v>
      </c>
      <c r="O147" s="1">
        <v>15357.16</v>
      </c>
      <c r="P147" s="1">
        <f t="shared" ref="P147:P153" si="159">O147-N147</f>
        <v>0</v>
      </c>
      <c r="Q147" s="1">
        <f t="shared" ref="Q147:Q160" si="160">N147+P147</f>
        <v>15357.16</v>
      </c>
      <c r="R147" s="41">
        <v>15357.16</v>
      </c>
      <c r="S147" s="1">
        <f t="shared" ref="S147:S153" si="161">R147-Q147</f>
        <v>0</v>
      </c>
      <c r="T147" s="1">
        <f t="shared" si="141"/>
        <v>15357.16</v>
      </c>
      <c r="U147" s="41">
        <v>23035.74</v>
      </c>
      <c r="V147" s="1">
        <f t="shared" ref="V147:V160" si="162">U147-T147</f>
        <v>7678.5800000000017</v>
      </c>
      <c r="W147" s="1">
        <f t="shared" ref="W147:W160" si="163">T147+V147</f>
        <v>23035.74</v>
      </c>
      <c r="X147" s="41">
        <v>24500.639999999999</v>
      </c>
      <c r="Y147" s="41">
        <f t="shared" ref="Y147:Y160" si="164">X147-W147</f>
        <v>1464.8999999999978</v>
      </c>
      <c r="Z147" s="1">
        <f t="shared" ref="Z147:Z160" si="165">W147+Y147</f>
        <v>24500.639999999999</v>
      </c>
      <c r="AA147" s="41">
        <v>27415.43</v>
      </c>
      <c r="AB147" s="1">
        <f t="shared" si="149"/>
        <v>2914.7900000000009</v>
      </c>
      <c r="AC147" s="1">
        <f t="shared" si="154"/>
        <v>27415.43</v>
      </c>
      <c r="AD147" s="41">
        <v>23851.47</v>
      </c>
      <c r="AE147" s="1">
        <f t="shared" si="101"/>
        <v>-3563.9599999999991</v>
      </c>
      <c r="AF147" s="1">
        <f t="shared" ref="AF147:AF216" si="166">AC147+AE147</f>
        <v>23851.47</v>
      </c>
    </row>
    <row r="148" spans="1:32" s="2" customFormat="1" outlineLevel="1">
      <c r="A148" s="13">
        <v>16400</v>
      </c>
      <c r="B148" s="11">
        <v>12006</v>
      </c>
      <c r="C148" s="11" t="s">
        <v>81</v>
      </c>
      <c r="D148" s="10">
        <v>0</v>
      </c>
      <c r="E148" s="10">
        <v>322.82</v>
      </c>
      <c r="F148" s="7">
        <f>D148-E148</f>
        <v>-322.82</v>
      </c>
      <c r="G148" s="10">
        <v>322.82</v>
      </c>
      <c r="H148" s="7">
        <f>D148+G148</f>
        <v>322.82</v>
      </c>
      <c r="I148" s="16">
        <v>377.16</v>
      </c>
      <c r="J148" s="1">
        <f t="shared" ref="J148:J152" si="167">H148-I148</f>
        <v>-54.340000000000032</v>
      </c>
      <c r="K148" s="16">
        <v>54.34</v>
      </c>
      <c r="L148" s="21">
        <f t="shared" ref="L148:L153" si="168">H148+K148</f>
        <v>377.15999999999997</v>
      </c>
      <c r="M148" s="10">
        <v>0</v>
      </c>
      <c r="N148" s="1">
        <f t="shared" si="158"/>
        <v>377.15999999999997</v>
      </c>
      <c r="O148" s="1">
        <v>525.33000000000004</v>
      </c>
      <c r="P148" s="1">
        <f t="shared" si="159"/>
        <v>148.17000000000007</v>
      </c>
      <c r="Q148" s="1">
        <f t="shared" si="160"/>
        <v>525.33000000000004</v>
      </c>
      <c r="R148" s="41">
        <v>565.74</v>
      </c>
      <c r="S148" s="1">
        <f t="shared" si="161"/>
        <v>40.409999999999968</v>
      </c>
      <c r="T148" s="1">
        <f t="shared" si="141"/>
        <v>565.74</v>
      </c>
      <c r="U148" s="41">
        <v>1252.71</v>
      </c>
      <c r="V148" s="1">
        <f t="shared" si="162"/>
        <v>686.97</v>
      </c>
      <c r="W148" s="1">
        <f t="shared" si="163"/>
        <v>1252.71</v>
      </c>
      <c r="X148" s="41">
        <v>1482.91</v>
      </c>
      <c r="Y148" s="41">
        <f t="shared" si="164"/>
        <v>230.20000000000005</v>
      </c>
      <c r="Z148" s="1">
        <f t="shared" si="165"/>
        <v>1482.91</v>
      </c>
      <c r="AA148" s="41">
        <v>1498.33</v>
      </c>
      <c r="AB148" s="1">
        <f t="shared" si="149"/>
        <v>15.419999999999845</v>
      </c>
      <c r="AC148" s="1">
        <f t="shared" si="154"/>
        <v>1498.33</v>
      </c>
      <c r="AD148" s="41">
        <v>1563.1</v>
      </c>
      <c r="AE148" s="1">
        <f t="shared" si="101"/>
        <v>64.769999999999982</v>
      </c>
      <c r="AF148" s="1">
        <f t="shared" si="166"/>
        <v>1563.1</v>
      </c>
    </row>
    <row r="149" spans="1:32" s="2" customFormat="1" outlineLevel="1">
      <c r="A149" s="13">
        <v>16400</v>
      </c>
      <c r="B149" s="11">
        <v>12100</v>
      </c>
      <c r="C149" s="11" t="s">
        <v>96</v>
      </c>
      <c r="D149" s="7">
        <v>7995.78</v>
      </c>
      <c r="E149" s="7">
        <v>3568.59</v>
      </c>
      <c r="F149" s="7">
        <f>D149-E149</f>
        <v>4427.1899999999996</v>
      </c>
      <c r="G149" s="7">
        <v>239.87</v>
      </c>
      <c r="H149" s="7">
        <f>D149+G149</f>
        <v>8235.65</v>
      </c>
      <c r="I149" s="16">
        <v>3955.42</v>
      </c>
      <c r="J149" s="1">
        <f t="shared" si="167"/>
        <v>4280.2299999999996</v>
      </c>
      <c r="K149" s="16">
        <v>-4280.2299999999996</v>
      </c>
      <c r="L149" s="21">
        <f t="shared" si="168"/>
        <v>3955.42</v>
      </c>
      <c r="M149" s="10">
        <f>13560.96-L149</f>
        <v>9605.5399999999991</v>
      </c>
      <c r="N149" s="1">
        <f t="shared" si="158"/>
        <v>13560.96</v>
      </c>
      <c r="O149" s="1">
        <v>13560.96</v>
      </c>
      <c r="P149" s="1">
        <f t="shared" si="159"/>
        <v>0</v>
      </c>
      <c r="Q149" s="1">
        <f t="shared" si="160"/>
        <v>13560.96</v>
      </c>
      <c r="R149" s="41">
        <f>19211.08-11300.24</f>
        <v>7910.840000000002</v>
      </c>
      <c r="S149" s="1">
        <f t="shared" si="161"/>
        <v>-5650.1199999999972</v>
      </c>
      <c r="T149" s="1">
        <f t="shared" si="141"/>
        <v>7910.840000000002</v>
      </c>
      <c r="U149" s="41">
        <v>11866.26</v>
      </c>
      <c r="V149" s="1">
        <f t="shared" si="162"/>
        <v>3955.4199999999983</v>
      </c>
      <c r="W149" s="1">
        <f t="shared" si="163"/>
        <v>11866.26</v>
      </c>
      <c r="X149" s="41">
        <v>11984.91</v>
      </c>
      <c r="Y149" s="41">
        <f t="shared" si="164"/>
        <v>118.64999999999964</v>
      </c>
      <c r="Z149" s="1">
        <f t="shared" si="165"/>
        <v>11984.91</v>
      </c>
      <c r="AA149" s="41">
        <v>14122.46</v>
      </c>
      <c r="AB149" s="1">
        <f t="shared" si="149"/>
        <v>2137.5499999999993</v>
      </c>
      <c r="AC149" s="1">
        <f t="shared" si="154"/>
        <v>14122.46</v>
      </c>
      <c r="AD149" s="41">
        <v>12286.83</v>
      </c>
      <c r="AE149" s="1">
        <f t="shared" si="101"/>
        <v>-1835.6299999999992</v>
      </c>
      <c r="AF149" s="1">
        <f t="shared" si="166"/>
        <v>12286.83</v>
      </c>
    </row>
    <row r="150" spans="1:32" s="2" customFormat="1" outlineLevel="1">
      <c r="A150" s="13">
        <v>16400</v>
      </c>
      <c r="B150" s="11">
        <v>12101</v>
      </c>
      <c r="C150" s="11" t="s">
        <v>97</v>
      </c>
      <c r="D150" s="10">
        <v>0</v>
      </c>
      <c r="E150" s="10">
        <v>4451.18</v>
      </c>
      <c r="F150" s="7">
        <f>D150-E150</f>
        <v>-4451.18</v>
      </c>
      <c r="G150" s="10">
        <v>4451.18</v>
      </c>
      <c r="H150" s="7">
        <f>D150+G150</f>
        <v>4451.18</v>
      </c>
      <c r="I150" s="10">
        <v>5650.12</v>
      </c>
      <c r="J150" s="7">
        <f t="shared" si="167"/>
        <v>-1198.9399999999996</v>
      </c>
      <c r="K150" s="10">
        <v>1198.94</v>
      </c>
      <c r="L150" s="20">
        <f t="shared" si="168"/>
        <v>5650.1200000000008</v>
      </c>
      <c r="M150" s="10">
        <f>0</f>
        <v>0</v>
      </c>
      <c r="N150" s="7">
        <f t="shared" si="158"/>
        <v>5650.1200000000008</v>
      </c>
      <c r="O150" s="7">
        <v>4816.84</v>
      </c>
      <c r="P150" s="7">
        <f t="shared" si="159"/>
        <v>-833.28000000000065</v>
      </c>
      <c r="Q150" s="7">
        <f t="shared" si="160"/>
        <v>4816.84</v>
      </c>
      <c r="R150" s="47">
        <v>11300.24</v>
      </c>
      <c r="S150" s="7">
        <f t="shared" si="161"/>
        <v>6483.4</v>
      </c>
      <c r="T150" s="7">
        <f t="shared" si="141"/>
        <v>11300.24</v>
      </c>
      <c r="U150" s="41">
        <v>16950.36</v>
      </c>
      <c r="V150" s="1">
        <f t="shared" si="162"/>
        <v>5650.1200000000008</v>
      </c>
      <c r="W150" s="1">
        <f t="shared" si="163"/>
        <v>16950.36</v>
      </c>
      <c r="X150" s="41">
        <v>17119.86</v>
      </c>
      <c r="Y150" s="41">
        <f t="shared" si="164"/>
        <v>169.5</v>
      </c>
      <c r="Z150" s="1">
        <f t="shared" si="165"/>
        <v>17119.86</v>
      </c>
      <c r="AA150" s="41">
        <v>19913.59</v>
      </c>
      <c r="AB150" s="1">
        <f t="shared" si="149"/>
        <v>2793.7299999999996</v>
      </c>
      <c r="AC150" s="1">
        <f t="shared" si="154"/>
        <v>19913.59</v>
      </c>
      <c r="AD150" s="41">
        <v>17550.330000000002</v>
      </c>
      <c r="AE150" s="1">
        <f t="shared" si="101"/>
        <v>-2363.2599999999984</v>
      </c>
      <c r="AF150" s="1">
        <f t="shared" si="166"/>
        <v>17550.330000000002</v>
      </c>
    </row>
    <row r="151" spans="1:32" outlineLevel="2">
      <c r="A151" s="13">
        <v>16400</v>
      </c>
      <c r="B151" s="11">
        <v>13000</v>
      </c>
      <c r="C151" s="11" t="s">
        <v>410</v>
      </c>
      <c r="D151" s="7">
        <v>28225.26</v>
      </c>
      <c r="E151" s="7">
        <v>28309.53</v>
      </c>
      <c r="F151" s="7">
        <f t="shared" si="128"/>
        <v>-84.270000000000437</v>
      </c>
      <c r="G151" s="7">
        <v>84.27</v>
      </c>
      <c r="H151" s="7">
        <f t="shared" ref="H151:H160" si="169">D151+G151</f>
        <v>28309.53</v>
      </c>
      <c r="I151" s="1">
        <v>27083.56</v>
      </c>
      <c r="J151" s="1">
        <f t="shared" si="167"/>
        <v>1225.9699999999975</v>
      </c>
      <c r="K151" s="16">
        <v>-1225.97</v>
      </c>
      <c r="L151" s="21">
        <f t="shared" si="168"/>
        <v>27083.559999999998</v>
      </c>
      <c r="M151" s="7">
        <f>25244.82-L151</f>
        <v>-1838.739999999998</v>
      </c>
      <c r="N151" s="1">
        <f t="shared" si="158"/>
        <v>25244.82</v>
      </c>
      <c r="O151" s="1">
        <v>26140.26</v>
      </c>
      <c r="P151" s="1">
        <f t="shared" si="159"/>
        <v>895.43999999999869</v>
      </c>
      <c r="Q151" s="1">
        <f t="shared" si="160"/>
        <v>26140.26</v>
      </c>
      <c r="R151" s="41">
        <v>16825.39</v>
      </c>
      <c r="S151" s="1">
        <f t="shared" si="161"/>
        <v>-9314.869999999999</v>
      </c>
      <c r="T151" s="1">
        <f t="shared" si="141"/>
        <v>16825.39</v>
      </c>
      <c r="U151" s="41">
        <v>9500.24</v>
      </c>
      <c r="V151" s="1">
        <f t="shared" si="162"/>
        <v>-7325.15</v>
      </c>
      <c r="W151" s="1">
        <f t="shared" si="163"/>
        <v>9500.24</v>
      </c>
      <c r="X151" s="1">
        <v>10969</v>
      </c>
      <c r="Y151" s="41">
        <f t="shared" si="164"/>
        <v>1468.7600000000002</v>
      </c>
      <c r="Z151" s="1">
        <f t="shared" si="165"/>
        <v>10969</v>
      </c>
      <c r="AA151" s="41">
        <v>9801.74</v>
      </c>
      <c r="AB151" s="1">
        <f t="shared" si="149"/>
        <v>-1167.2600000000002</v>
      </c>
      <c r="AC151" s="1">
        <f t="shared" si="154"/>
        <v>9801.74</v>
      </c>
      <c r="AD151" s="41">
        <v>10126.84</v>
      </c>
      <c r="AE151" s="1">
        <f t="shared" si="101"/>
        <v>325.10000000000036</v>
      </c>
      <c r="AF151" s="1">
        <f t="shared" si="166"/>
        <v>10126.84</v>
      </c>
    </row>
    <row r="152" spans="1:32" outlineLevel="2">
      <c r="A152" s="13">
        <v>16400</v>
      </c>
      <c r="B152" s="11">
        <v>13002</v>
      </c>
      <c r="C152" s="11" t="s">
        <v>411</v>
      </c>
      <c r="D152" s="7">
        <v>0</v>
      </c>
      <c r="E152" s="7">
        <v>27129.94</v>
      </c>
      <c r="F152" s="7">
        <f>D152-E152</f>
        <v>-27129.94</v>
      </c>
      <c r="G152" s="7">
        <v>27129.94</v>
      </c>
      <c r="H152" s="7">
        <f>D152+G152</f>
        <v>27129.94</v>
      </c>
      <c r="I152" s="1">
        <v>31887.66</v>
      </c>
      <c r="J152" s="1">
        <f t="shared" si="167"/>
        <v>-4757.7200000000012</v>
      </c>
      <c r="K152" s="16">
        <v>4757.72</v>
      </c>
      <c r="L152" s="21">
        <f t="shared" si="168"/>
        <v>31887.66</v>
      </c>
      <c r="M152" s="7">
        <f>31373.02-L152</f>
        <v>-514.63999999999942</v>
      </c>
      <c r="N152" s="1">
        <f t="shared" si="158"/>
        <v>31373.02</v>
      </c>
      <c r="O152" s="1">
        <v>31373.02</v>
      </c>
      <c r="P152" s="1">
        <f t="shared" si="159"/>
        <v>0</v>
      </c>
      <c r="Q152" s="1">
        <f t="shared" si="160"/>
        <v>31373.02</v>
      </c>
      <c r="R152" s="41">
        <v>19980.52</v>
      </c>
      <c r="S152" s="1">
        <f t="shared" si="161"/>
        <v>-11392.5</v>
      </c>
      <c r="T152" s="1">
        <f t="shared" si="141"/>
        <v>19980.52</v>
      </c>
      <c r="U152" s="41">
        <v>10883.74</v>
      </c>
      <c r="V152" s="1">
        <f t="shared" si="162"/>
        <v>-9096.7800000000007</v>
      </c>
      <c r="W152" s="1">
        <f t="shared" si="163"/>
        <v>10883.74</v>
      </c>
      <c r="X152" s="1">
        <v>10992.58</v>
      </c>
      <c r="Y152" s="41">
        <f t="shared" si="164"/>
        <v>108.84000000000015</v>
      </c>
      <c r="Z152" s="1">
        <f t="shared" si="165"/>
        <v>10992.58</v>
      </c>
      <c r="AA152" s="41">
        <v>11102.59</v>
      </c>
      <c r="AB152" s="1">
        <f t="shared" si="149"/>
        <v>110.01000000000022</v>
      </c>
      <c r="AC152" s="1">
        <f t="shared" si="154"/>
        <v>11102.59</v>
      </c>
      <c r="AD152" s="41">
        <v>11269.1</v>
      </c>
      <c r="AE152" s="1">
        <f t="shared" si="101"/>
        <v>166.51000000000022</v>
      </c>
      <c r="AF152" s="1">
        <f t="shared" si="166"/>
        <v>11269.1</v>
      </c>
    </row>
    <row r="153" spans="1:32" outlineLevel="2">
      <c r="A153" s="13">
        <v>16400</v>
      </c>
      <c r="B153" s="19">
        <v>15100</v>
      </c>
      <c r="C153" s="19" t="s">
        <v>412</v>
      </c>
      <c r="D153" s="20">
        <v>1300</v>
      </c>
      <c r="E153" s="20">
        <v>200</v>
      </c>
      <c r="F153" s="20">
        <f t="shared" si="128"/>
        <v>1100</v>
      </c>
      <c r="G153" s="20">
        <v>-1100</v>
      </c>
      <c r="H153" s="20">
        <f t="shared" si="169"/>
        <v>200</v>
      </c>
      <c r="I153" s="21">
        <v>200</v>
      </c>
      <c r="J153" s="21">
        <f>H153-I153</f>
        <v>0</v>
      </c>
      <c r="K153" s="22">
        <v>0</v>
      </c>
      <c r="L153" s="21">
        <f t="shared" si="168"/>
        <v>200</v>
      </c>
      <c r="N153" s="1">
        <f t="shared" si="158"/>
        <v>200</v>
      </c>
      <c r="O153" s="1">
        <v>666.67</v>
      </c>
      <c r="P153" s="1">
        <f t="shared" si="159"/>
        <v>466.66999999999996</v>
      </c>
      <c r="Q153" s="1">
        <f t="shared" si="160"/>
        <v>666.67</v>
      </c>
      <c r="R153" s="1">
        <v>650</v>
      </c>
      <c r="S153" s="1">
        <f t="shared" si="161"/>
        <v>-16.669999999999959</v>
      </c>
      <c r="T153" s="1">
        <f t="shared" si="141"/>
        <v>650</v>
      </c>
      <c r="U153" s="41">
        <v>650</v>
      </c>
      <c r="V153" s="1">
        <f t="shared" si="162"/>
        <v>0</v>
      </c>
      <c r="W153" s="1">
        <f t="shared" si="163"/>
        <v>650</v>
      </c>
      <c r="X153" s="1">
        <v>350</v>
      </c>
      <c r="Y153" s="41">
        <f t="shared" si="164"/>
        <v>-300</v>
      </c>
      <c r="Z153" s="1">
        <f t="shared" si="165"/>
        <v>350</v>
      </c>
      <c r="AA153" s="41">
        <v>0</v>
      </c>
      <c r="AB153" s="1">
        <f t="shared" si="149"/>
        <v>-350</v>
      </c>
      <c r="AC153" s="1">
        <f t="shared" si="154"/>
        <v>0</v>
      </c>
      <c r="AD153" s="41">
        <v>0</v>
      </c>
      <c r="AE153" s="1">
        <f t="shared" ref="AE153:AE161" si="170">AD153-AC153</f>
        <v>0</v>
      </c>
      <c r="AF153" s="1">
        <f t="shared" si="166"/>
        <v>0</v>
      </c>
    </row>
    <row r="154" spans="1:32" outlineLevel="2">
      <c r="A154" s="13">
        <v>16400</v>
      </c>
      <c r="B154" s="60">
        <v>16000</v>
      </c>
      <c r="C154" s="56" t="s">
        <v>744</v>
      </c>
      <c r="D154" s="62"/>
      <c r="E154" s="64"/>
      <c r="F154" s="62"/>
      <c r="G154" s="64"/>
      <c r="H154" s="62"/>
      <c r="I154" s="64"/>
      <c r="J154" s="62"/>
      <c r="K154" s="64"/>
      <c r="L154" s="62"/>
      <c r="M154" s="63"/>
      <c r="N154" s="53"/>
      <c r="O154" s="53"/>
      <c r="P154" s="53"/>
      <c r="Q154" s="53"/>
      <c r="R154" s="58"/>
      <c r="S154" s="53"/>
      <c r="T154" s="53">
        <f t="shared" si="141"/>
        <v>0</v>
      </c>
      <c r="U154" s="63"/>
      <c r="V154" s="53">
        <f t="shared" si="162"/>
        <v>0</v>
      </c>
      <c r="W154" s="53">
        <f t="shared" si="163"/>
        <v>0</v>
      </c>
      <c r="X154" s="1">
        <v>0</v>
      </c>
      <c r="Y154" s="41">
        <f t="shared" si="164"/>
        <v>0</v>
      </c>
      <c r="Z154" s="1">
        <f t="shared" si="165"/>
        <v>0</v>
      </c>
      <c r="AA154" s="41">
        <v>0</v>
      </c>
      <c r="AB154" s="1">
        <f t="shared" si="149"/>
        <v>0</v>
      </c>
      <c r="AC154" s="1">
        <f t="shared" si="154"/>
        <v>0</v>
      </c>
      <c r="AD154" s="41">
        <v>26947.49</v>
      </c>
      <c r="AE154" s="1">
        <f t="shared" si="170"/>
        <v>26947.49</v>
      </c>
      <c r="AF154" s="1">
        <f t="shared" si="166"/>
        <v>26947.49</v>
      </c>
    </row>
    <row r="155" spans="1:32" outlineLevel="2">
      <c r="A155" s="42">
        <v>16400</v>
      </c>
      <c r="B155" s="19">
        <v>20300</v>
      </c>
      <c r="C155" s="48" t="s">
        <v>692</v>
      </c>
      <c r="D155" s="20"/>
      <c r="E155" s="20"/>
      <c r="F155" s="20"/>
      <c r="G155" s="20"/>
      <c r="H155" s="20"/>
      <c r="I155" s="21"/>
      <c r="J155" s="21"/>
      <c r="K155" s="22"/>
      <c r="L155" s="21"/>
      <c r="N155" s="1"/>
      <c r="O155" s="1"/>
      <c r="Q155" s="1">
        <v>0</v>
      </c>
      <c r="S155" s="1">
        <v>2000</v>
      </c>
      <c r="T155" s="1">
        <f t="shared" si="141"/>
        <v>2000</v>
      </c>
      <c r="U155" s="1">
        <f t="shared" si="141"/>
        <v>2000</v>
      </c>
      <c r="V155" s="1">
        <f t="shared" si="162"/>
        <v>0</v>
      </c>
      <c r="W155" s="1">
        <f t="shared" si="163"/>
        <v>2000</v>
      </c>
      <c r="X155" s="1">
        <v>2000</v>
      </c>
      <c r="Y155" s="41">
        <f t="shared" si="164"/>
        <v>0</v>
      </c>
      <c r="Z155" s="1">
        <f t="shared" si="165"/>
        <v>2000</v>
      </c>
      <c r="AA155" s="1">
        <v>2000</v>
      </c>
      <c r="AB155" s="1">
        <f t="shared" si="149"/>
        <v>0</v>
      </c>
      <c r="AC155" s="1">
        <f t="shared" si="154"/>
        <v>2000</v>
      </c>
      <c r="AD155" s="41">
        <v>2000</v>
      </c>
      <c r="AE155" s="1">
        <f t="shared" si="170"/>
        <v>0</v>
      </c>
      <c r="AF155" s="1">
        <f t="shared" si="166"/>
        <v>2000</v>
      </c>
    </row>
    <row r="156" spans="1:32" outlineLevel="2">
      <c r="A156" s="42">
        <v>16400</v>
      </c>
      <c r="B156" s="19">
        <v>20400</v>
      </c>
      <c r="C156" s="48" t="s">
        <v>735</v>
      </c>
      <c r="D156" s="20"/>
      <c r="E156" s="20"/>
      <c r="F156" s="20"/>
      <c r="G156" s="20"/>
      <c r="H156" s="20"/>
      <c r="I156" s="21"/>
      <c r="J156" s="21"/>
      <c r="K156" s="22"/>
      <c r="L156" s="21"/>
      <c r="N156" s="1"/>
      <c r="O156" s="1"/>
      <c r="T156" s="1">
        <v>0</v>
      </c>
      <c r="U156" s="1">
        <v>12454</v>
      </c>
      <c r="V156" s="1">
        <f t="shared" si="162"/>
        <v>12454</v>
      </c>
      <c r="W156" s="1">
        <f t="shared" si="163"/>
        <v>12454</v>
      </c>
      <c r="X156" s="1">
        <v>12454</v>
      </c>
      <c r="Y156" s="41">
        <f t="shared" si="164"/>
        <v>0</v>
      </c>
      <c r="Z156" s="1">
        <f t="shared" si="165"/>
        <v>12454</v>
      </c>
      <c r="AA156" s="1">
        <v>12454</v>
      </c>
      <c r="AB156" s="1">
        <f t="shared" si="149"/>
        <v>0</v>
      </c>
      <c r="AC156" s="1">
        <f t="shared" si="154"/>
        <v>12454</v>
      </c>
      <c r="AD156" s="41">
        <v>0</v>
      </c>
      <c r="AE156" s="1">
        <f t="shared" si="170"/>
        <v>-12454</v>
      </c>
      <c r="AF156" s="1">
        <f t="shared" si="166"/>
        <v>0</v>
      </c>
    </row>
    <row r="157" spans="1:32" outlineLevel="2">
      <c r="A157" s="13">
        <v>16400</v>
      </c>
      <c r="B157" s="11">
        <v>21200</v>
      </c>
      <c r="C157" s="11" t="s">
        <v>413</v>
      </c>
      <c r="D157" s="7">
        <v>9000</v>
      </c>
      <c r="E157" s="7"/>
      <c r="F157" s="7">
        <f t="shared" si="128"/>
        <v>9000</v>
      </c>
      <c r="G157" s="7"/>
      <c r="H157" s="7">
        <f t="shared" si="169"/>
        <v>9000</v>
      </c>
      <c r="I157" s="1"/>
      <c r="J157" s="1">
        <f>H157-I157</f>
        <v>9000</v>
      </c>
      <c r="K157" s="1"/>
      <c r="L157" s="1">
        <f>H157+K157</f>
        <v>9000</v>
      </c>
      <c r="N157" s="1">
        <f t="shared" si="158"/>
        <v>9000</v>
      </c>
      <c r="O157" s="1"/>
      <c r="Q157" s="1">
        <f t="shared" si="160"/>
        <v>9000</v>
      </c>
      <c r="S157" s="1">
        <v>3000</v>
      </c>
      <c r="T157" s="1">
        <f t="shared" si="141"/>
        <v>12000</v>
      </c>
      <c r="U157" s="1">
        <f t="shared" si="141"/>
        <v>12000</v>
      </c>
      <c r="V157" s="1">
        <f t="shared" si="162"/>
        <v>0</v>
      </c>
      <c r="W157" s="1">
        <f t="shared" si="163"/>
        <v>12000</v>
      </c>
      <c r="X157" s="1">
        <v>8000</v>
      </c>
      <c r="Y157" s="41">
        <f t="shared" si="164"/>
        <v>-4000</v>
      </c>
      <c r="Z157" s="1">
        <f t="shared" si="165"/>
        <v>8000</v>
      </c>
      <c r="AA157" s="1">
        <v>8000</v>
      </c>
      <c r="AB157" s="1">
        <f t="shared" si="149"/>
        <v>0</v>
      </c>
      <c r="AC157" s="1">
        <f t="shared" si="154"/>
        <v>8000</v>
      </c>
      <c r="AD157" s="41">
        <v>15000</v>
      </c>
      <c r="AE157" s="1">
        <f t="shared" si="170"/>
        <v>7000</v>
      </c>
      <c r="AF157" s="1">
        <f t="shared" si="166"/>
        <v>15000</v>
      </c>
    </row>
    <row r="158" spans="1:32" outlineLevel="2">
      <c r="A158" s="13">
        <v>16400</v>
      </c>
      <c r="B158" s="11">
        <v>21300</v>
      </c>
      <c r="C158" s="11" t="s">
        <v>414</v>
      </c>
      <c r="D158" s="7">
        <v>4608.6000000000004</v>
      </c>
      <c r="E158" s="7"/>
      <c r="F158" s="7">
        <f t="shared" si="128"/>
        <v>4608.6000000000004</v>
      </c>
      <c r="G158" s="7">
        <v>-1608.6</v>
      </c>
      <c r="H158" s="7">
        <f t="shared" si="169"/>
        <v>3000.0000000000005</v>
      </c>
      <c r="I158" s="1"/>
      <c r="J158" s="1">
        <f>H158-I158</f>
        <v>3000.0000000000005</v>
      </c>
      <c r="K158" s="1"/>
      <c r="L158" s="1">
        <f>H158+K158</f>
        <v>3000.0000000000005</v>
      </c>
      <c r="N158" s="1">
        <f t="shared" si="158"/>
        <v>3000.0000000000005</v>
      </c>
      <c r="O158" s="1"/>
      <c r="Q158" s="1">
        <f t="shared" si="160"/>
        <v>3000.0000000000005</v>
      </c>
      <c r="T158" s="1">
        <f t="shared" si="141"/>
        <v>3000.0000000000005</v>
      </c>
      <c r="U158" s="1">
        <f t="shared" si="141"/>
        <v>3000.0000000000005</v>
      </c>
      <c r="V158" s="1">
        <f t="shared" si="162"/>
        <v>0</v>
      </c>
      <c r="W158" s="1">
        <f t="shared" si="163"/>
        <v>3000.0000000000005</v>
      </c>
      <c r="X158" s="1">
        <v>3000</v>
      </c>
      <c r="Y158" s="41">
        <f t="shared" si="164"/>
        <v>0</v>
      </c>
      <c r="Z158" s="1">
        <f t="shared" si="165"/>
        <v>3000.0000000000005</v>
      </c>
      <c r="AA158" s="1">
        <v>3000</v>
      </c>
      <c r="AB158" s="1">
        <f t="shared" si="149"/>
        <v>0</v>
      </c>
      <c r="AC158" s="1">
        <f t="shared" si="154"/>
        <v>3000.0000000000005</v>
      </c>
      <c r="AD158" s="41">
        <v>3000</v>
      </c>
      <c r="AE158" s="1">
        <f t="shared" si="170"/>
        <v>0</v>
      </c>
      <c r="AF158" s="1">
        <f t="shared" si="166"/>
        <v>3000.0000000000005</v>
      </c>
    </row>
    <row r="159" spans="1:32" outlineLevel="2">
      <c r="A159" s="13">
        <v>16400</v>
      </c>
      <c r="B159" s="11">
        <v>22103</v>
      </c>
      <c r="C159" s="11" t="s">
        <v>415</v>
      </c>
      <c r="D159" s="7">
        <v>150.25</v>
      </c>
      <c r="E159" s="7"/>
      <c r="F159" s="7">
        <f t="shared" si="128"/>
        <v>150.25</v>
      </c>
      <c r="G159" s="7"/>
      <c r="H159" s="7">
        <f t="shared" si="169"/>
        <v>150.25</v>
      </c>
      <c r="I159" s="1"/>
      <c r="J159" s="1">
        <f>H159-I159</f>
        <v>150.25</v>
      </c>
      <c r="K159" s="1"/>
      <c r="L159" s="1">
        <f>H159+K159</f>
        <v>150.25</v>
      </c>
      <c r="N159" s="1">
        <f t="shared" si="158"/>
        <v>150.25</v>
      </c>
      <c r="O159" s="1"/>
      <c r="Q159" s="1">
        <f t="shared" si="160"/>
        <v>150.25</v>
      </c>
      <c r="S159" s="1">
        <v>3000</v>
      </c>
      <c r="T159" s="1">
        <f t="shared" si="141"/>
        <v>3150.25</v>
      </c>
      <c r="U159" s="1">
        <f t="shared" si="141"/>
        <v>3150.25</v>
      </c>
      <c r="V159" s="1">
        <f t="shared" si="162"/>
        <v>0</v>
      </c>
      <c r="W159" s="1">
        <f t="shared" si="163"/>
        <v>3150.25</v>
      </c>
      <c r="X159" s="1">
        <v>2000</v>
      </c>
      <c r="Y159" s="41">
        <f t="shared" si="164"/>
        <v>-1150.25</v>
      </c>
      <c r="Z159" s="1">
        <f t="shared" si="165"/>
        <v>2000</v>
      </c>
      <c r="AA159" s="1">
        <v>2000</v>
      </c>
      <c r="AB159" s="1">
        <f t="shared" si="149"/>
        <v>0</v>
      </c>
      <c r="AC159" s="1">
        <f t="shared" si="154"/>
        <v>2000</v>
      </c>
      <c r="AD159" s="41">
        <v>2000</v>
      </c>
      <c r="AE159" s="1">
        <f t="shared" si="170"/>
        <v>0</v>
      </c>
      <c r="AF159" s="1">
        <f t="shared" si="166"/>
        <v>2000</v>
      </c>
    </row>
    <row r="160" spans="1:32" outlineLevel="2">
      <c r="A160" s="13">
        <v>16400</v>
      </c>
      <c r="B160" s="11">
        <v>22199</v>
      </c>
      <c r="C160" s="11" t="s">
        <v>416</v>
      </c>
      <c r="D160" s="7">
        <v>1803.04</v>
      </c>
      <c r="E160" s="7"/>
      <c r="F160" s="7">
        <f t="shared" si="128"/>
        <v>1803.04</v>
      </c>
      <c r="G160" s="7">
        <v>-803.04</v>
      </c>
      <c r="H160" s="7">
        <f t="shared" si="169"/>
        <v>1000</v>
      </c>
      <c r="I160" s="1"/>
      <c r="J160" s="1">
        <f>H160-I160</f>
        <v>1000</v>
      </c>
      <c r="K160" s="1"/>
      <c r="L160" s="1">
        <f>H160+K160</f>
        <v>1000</v>
      </c>
      <c r="N160" s="1">
        <f t="shared" si="158"/>
        <v>1000</v>
      </c>
      <c r="O160" s="1"/>
      <c r="Q160" s="1">
        <f t="shared" si="160"/>
        <v>1000</v>
      </c>
      <c r="S160" s="1">
        <v>1000</v>
      </c>
      <c r="T160" s="1">
        <f t="shared" si="141"/>
        <v>2000</v>
      </c>
      <c r="U160" s="1">
        <f t="shared" si="141"/>
        <v>2000</v>
      </c>
      <c r="V160" s="1">
        <f t="shared" si="162"/>
        <v>0</v>
      </c>
      <c r="W160" s="1">
        <f t="shared" si="163"/>
        <v>2000</v>
      </c>
      <c r="X160" s="1">
        <v>10000</v>
      </c>
      <c r="Y160" s="41">
        <f t="shared" si="164"/>
        <v>8000</v>
      </c>
      <c r="Z160" s="1">
        <f t="shared" si="165"/>
        <v>10000</v>
      </c>
      <c r="AA160" s="1">
        <v>10000</v>
      </c>
      <c r="AB160" s="1">
        <f t="shared" si="149"/>
        <v>0</v>
      </c>
      <c r="AC160" s="1">
        <f t="shared" si="154"/>
        <v>10000</v>
      </c>
      <c r="AD160" s="41">
        <v>10000</v>
      </c>
      <c r="AE160" s="1">
        <f t="shared" si="170"/>
        <v>0</v>
      </c>
      <c r="AF160" s="1">
        <f t="shared" si="166"/>
        <v>10000</v>
      </c>
    </row>
    <row r="161" spans="1:32" outlineLevel="2">
      <c r="A161" s="42">
        <v>16400</v>
      </c>
      <c r="B161" s="11">
        <v>62300</v>
      </c>
      <c r="C161" s="39" t="s">
        <v>889</v>
      </c>
      <c r="D161" s="7"/>
      <c r="E161" s="7"/>
      <c r="F161" s="7"/>
      <c r="G161" s="7"/>
      <c r="H161" s="7"/>
      <c r="I161" s="1"/>
      <c r="J161" s="1"/>
      <c r="K161" s="1"/>
      <c r="L161" s="1"/>
      <c r="N161" s="1"/>
      <c r="O161" s="1"/>
      <c r="T161" s="1"/>
      <c r="V161" s="1"/>
      <c r="W161" s="1"/>
      <c r="Y161" s="41"/>
      <c r="Z161" s="1">
        <v>0</v>
      </c>
      <c r="AA161" s="1">
        <v>6600</v>
      </c>
      <c r="AB161" s="1">
        <f t="shared" ref="AB161" si="171">AA161-Z161</f>
        <v>6600</v>
      </c>
      <c r="AC161" s="1">
        <f t="shared" ref="AC161" si="172">Z161+AB161</f>
        <v>6600</v>
      </c>
      <c r="AD161" s="41">
        <v>16000</v>
      </c>
      <c r="AE161" s="1">
        <f t="shared" si="170"/>
        <v>9400</v>
      </c>
      <c r="AF161" s="1">
        <f t="shared" si="166"/>
        <v>16000</v>
      </c>
    </row>
    <row r="162" spans="1:32" s="2" customFormat="1" outlineLevel="1">
      <c r="A162" s="9" t="s">
        <v>7</v>
      </c>
      <c r="B162" s="9"/>
      <c r="C162" s="9" t="s">
        <v>34</v>
      </c>
      <c r="D162" s="8">
        <f t="shared" ref="D162:L162" si="173">SUBTOTAL(9,D147:D160)</f>
        <v>53082.93</v>
      </c>
      <c r="E162" s="8">
        <f t="shared" si="173"/>
        <v>73050.7</v>
      </c>
      <c r="F162" s="8">
        <f t="shared" si="173"/>
        <v>-19967.770000000004</v>
      </c>
      <c r="G162" s="8">
        <f t="shared" si="173"/>
        <v>37785.08</v>
      </c>
      <c r="H162" s="8">
        <f t="shared" si="173"/>
        <v>90868.01</v>
      </c>
      <c r="I162" s="8">
        <f>SUBTOTAL(9,I147:I160)</f>
        <v>77532.5</v>
      </c>
      <c r="J162" s="8">
        <f t="shared" si="173"/>
        <v>13335.509999999995</v>
      </c>
      <c r="K162" s="8">
        <f>SUBTOTAL(9,K147:K160)</f>
        <v>-185.25999999999931</v>
      </c>
      <c r="L162" s="8">
        <f t="shared" si="173"/>
        <v>90682.75</v>
      </c>
      <c r="M162" s="8">
        <f>SUBTOTAL(9,M147:M160)</f>
        <v>14230.740000000002</v>
      </c>
      <c r="N162" s="8">
        <f>SUBTOTAL(9,N147:N160)</f>
        <v>104913.49</v>
      </c>
      <c r="O162" s="8">
        <f>SUBTOTAL(9,O147:O160)</f>
        <v>92440.239999999991</v>
      </c>
      <c r="P162" s="8">
        <f>SUBTOTAL(9,P147:P160)</f>
        <v>676.99999999999807</v>
      </c>
      <c r="Q162" s="8">
        <f>SUBTOTAL(9,Q147:Q160)</f>
        <v>105590.48999999999</v>
      </c>
      <c r="R162" s="3"/>
      <c r="S162" s="8">
        <f>SUBTOTAL(9,S147:S160)</f>
        <v>-10850.349999999995</v>
      </c>
      <c r="T162" s="8">
        <f>SUBTOTAL(9,T147:T160)</f>
        <v>94740.14</v>
      </c>
      <c r="U162" s="8">
        <f t="shared" ref="U162:X162" si="174">SUBTOTAL(9,U147:U160)</f>
        <v>108743.3</v>
      </c>
      <c r="V162" s="8">
        <f t="shared" si="174"/>
        <v>14003.16</v>
      </c>
      <c r="W162" s="8">
        <f t="shared" si="174"/>
        <v>108743.3</v>
      </c>
      <c r="X162" s="8">
        <f t="shared" si="174"/>
        <v>114853.90000000001</v>
      </c>
      <c r="Y162" s="8">
        <f>SUBTOTAL(9,Y147:Y160)</f>
        <v>6110.5999999999976</v>
      </c>
      <c r="Z162" s="8">
        <f>SUBTOTAL(9,Z147:Z161)</f>
        <v>114853.90000000001</v>
      </c>
      <c r="AA162" s="8">
        <f t="shared" ref="AA162:AB162" si="175">SUBTOTAL(9,AA147:AA161)</f>
        <v>127908.14</v>
      </c>
      <c r="AB162" s="8">
        <f t="shared" si="175"/>
        <v>13054.24</v>
      </c>
      <c r="AC162" s="8">
        <f>SUBTOTAL(9,AC147:AC161)</f>
        <v>127908.14</v>
      </c>
      <c r="AD162" s="8">
        <f t="shared" ref="AD162:AF162" si="176">SUBTOTAL(9,AD147:AD161)</f>
        <v>151595.16000000003</v>
      </c>
      <c r="AE162" s="8">
        <f t="shared" si="176"/>
        <v>23687.020000000004</v>
      </c>
      <c r="AF162" s="8">
        <f t="shared" si="176"/>
        <v>151595.16000000003</v>
      </c>
    </row>
    <row r="163" spans="1:32" s="2" customFormat="1" outlineLevel="1">
      <c r="A163" s="13">
        <v>16500</v>
      </c>
      <c r="B163" s="11">
        <v>12001</v>
      </c>
      <c r="C163" s="11" t="s">
        <v>598</v>
      </c>
      <c r="D163" s="7"/>
      <c r="E163" s="7"/>
      <c r="F163" s="7"/>
      <c r="G163" s="7"/>
      <c r="H163" s="10">
        <f t="shared" ref="H163:H181" si="177">D163+G163</f>
        <v>0</v>
      </c>
      <c r="I163" s="16">
        <v>12906.52</v>
      </c>
      <c r="J163" s="16">
        <f t="shared" ref="J163:J170" si="178">H163-I163</f>
        <v>-12906.52</v>
      </c>
      <c r="K163" s="16">
        <v>12906.52</v>
      </c>
      <c r="L163" s="1">
        <f t="shared" ref="L163:L181" si="179">H163+K163</f>
        <v>12906.52</v>
      </c>
      <c r="M163" s="10">
        <v>0</v>
      </c>
      <c r="N163" s="1">
        <f t="shared" ref="N163:N181" si="180">L163+M163</f>
        <v>12906.52</v>
      </c>
      <c r="O163" s="1">
        <v>12906.52</v>
      </c>
      <c r="P163" s="1">
        <f t="shared" ref="P163:P170" si="181">O163-N163</f>
        <v>0</v>
      </c>
      <c r="Q163" s="1">
        <f t="shared" ref="Q163:Q181" si="182">N163+P163</f>
        <v>12906.52</v>
      </c>
      <c r="R163" s="41">
        <v>12906.52</v>
      </c>
      <c r="S163" s="1">
        <f t="shared" ref="S163:S170" si="183">R163-Q163</f>
        <v>0</v>
      </c>
      <c r="T163" s="1">
        <f t="shared" si="141"/>
        <v>12906.52</v>
      </c>
      <c r="U163" s="41">
        <v>12906.52</v>
      </c>
      <c r="V163" s="1">
        <f t="shared" ref="V163:V181" si="184">U163-T163</f>
        <v>0</v>
      </c>
      <c r="W163" s="1">
        <f t="shared" ref="W163:W181" si="185">T163+V163</f>
        <v>12906.52</v>
      </c>
      <c r="X163" s="41">
        <v>13979.85</v>
      </c>
      <c r="Y163" s="41">
        <f t="shared" ref="Y163:Y181" si="186">X163-W163</f>
        <v>1073.33</v>
      </c>
      <c r="Z163" s="1">
        <f t="shared" ref="Z163:AA181" si="187">W163+Y163</f>
        <v>13979.85</v>
      </c>
      <c r="AA163" s="41">
        <v>13165.95</v>
      </c>
      <c r="AB163" s="1">
        <f t="shared" si="149"/>
        <v>-813.89999999999964</v>
      </c>
      <c r="AC163" s="1">
        <f t="shared" ref="AC163:AC181" si="188">Z163+AB163</f>
        <v>13165.95</v>
      </c>
      <c r="AD163" s="41">
        <v>13363.5</v>
      </c>
      <c r="AE163" s="1">
        <f t="shared" ref="AE163:AE181" si="189">AD163-AC163</f>
        <v>197.54999999999927</v>
      </c>
      <c r="AF163" s="1">
        <f t="shared" si="166"/>
        <v>13363.5</v>
      </c>
    </row>
    <row r="164" spans="1:32" s="2" customFormat="1" outlineLevel="1">
      <c r="A164" s="13">
        <v>16500</v>
      </c>
      <c r="B164" s="11">
        <v>12004</v>
      </c>
      <c r="C164" s="11" t="s">
        <v>98</v>
      </c>
      <c r="D164" s="7">
        <v>0</v>
      </c>
      <c r="E164" s="7">
        <v>21136.34</v>
      </c>
      <c r="F164" s="7">
        <f>D164-E164</f>
        <v>-21136.34</v>
      </c>
      <c r="G164" s="7">
        <v>21136.34</v>
      </c>
      <c r="H164" s="10">
        <f t="shared" si="177"/>
        <v>21136.34</v>
      </c>
      <c r="I164" s="16">
        <v>20946.45</v>
      </c>
      <c r="J164" s="16">
        <f t="shared" si="178"/>
        <v>189.88999999999942</v>
      </c>
      <c r="K164" s="16">
        <v>-189.89</v>
      </c>
      <c r="L164" s="1">
        <f t="shared" si="179"/>
        <v>20946.45</v>
      </c>
      <c r="M164" s="10">
        <f>8378.58-L164</f>
        <v>-12567.87</v>
      </c>
      <c r="N164" s="1">
        <f t="shared" si="180"/>
        <v>8378.58</v>
      </c>
      <c r="O164" s="1">
        <v>8378.58</v>
      </c>
      <c r="P164" s="1">
        <f t="shared" si="181"/>
        <v>0</v>
      </c>
      <c r="Q164" s="1">
        <f t="shared" si="182"/>
        <v>8378.58</v>
      </c>
      <c r="R164" s="41">
        <v>8378.58</v>
      </c>
      <c r="S164" s="1">
        <f t="shared" si="183"/>
        <v>0</v>
      </c>
      <c r="T164" s="1">
        <f t="shared" si="141"/>
        <v>8378.58</v>
      </c>
      <c r="U164" s="41">
        <v>16757.16</v>
      </c>
      <c r="V164" s="1">
        <f t="shared" si="184"/>
        <v>8378.58</v>
      </c>
      <c r="W164" s="1">
        <f t="shared" si="185"/>
        <v>16757.16</v>
      </c>
      <c r="X164" s="41">
        <v>17940.53</v>
      </c>
      <c r="Y164" s="41">
        <f t="shared" si="186"/>
        <v>1183.369999999999</v>
      </c>
      <c r="Z164" s="1">
        <f t="shared" si="187"/>
        <v>17940.53</v>
      </c>
      <c r="AA164" s="41">
        <v>19783.89</v>
      </c>
      <c r="AB164" s="1">
        <f t="shared" si="149"/>
        <v>1843.3600000000006</v>
      </c>
      <c r="AC164" s="1">
        <f t="shared" si="188"/>
        <v>19783.89</v>
      </c>
      <c r="AD164" s="41">
        <v>17350.78</v>
      </c>
      <c r="AE164" s="1">
        <f t="shared" si="189"/>
        <v>-2433.1100000000006</v>
      </c>
      <c r="AF164" s="1">
        <f t="shared" si="166"/>
        <v>17350.78</v>
      </c>
    </row>
    <row r="165" spans="1:32" s="2" customFormat="1" outlineLevel="1">
      <c r="A165" s="13">
        <v>16500</v>
      </c>
      <c r="B165" s="11">
        <v>12005</v>
      </c>
      <c r="C165" s="11" t="s">
        <v>661</v>
      </c>
      <c r="D165" s="7"/>
      <c r="E165" s="7"/>
      <c r="F165" s="7"/>
      <c r="G165" s="7"/>
      <c r="H165" s="10"/>
      <c r="I165" s="16"/>
      <c r="J165" s="16"/>
      <c r="K165" s="16"/>
      <c r="L165" s="1"/>
      <c r="M165" s="10"/>
      <c r="N165" s="1">
        <v>0</v>
      </c>
      <c r="O165" s="1">
        <v>7678.58</v>
      </c>
      <c r="P165" s="1">
        <f t="shared" si="181"/>
        <v>7678.58</v>
      </c>
      <c r="Q165" s="1">
        <f t="shared" si="182"/>
        <v>7678.58</v>
      </c>
      <c r="R165" s="41">
        <v>23035.74</v>
      </c>
      <c r="S165" s="1">
        <f t="shared" si="183"/>
        <v>15357.160000000002</v>
      </c>
      <c r="T165" s="1">
        <f t="shared" si="141"/>
        <v>23035.74</v>
      </c>
      <c r="U165" s="41">
        <v>23035.74</v>
      </c>
      <c r="V165" s="1">
        <f t="shared" si="184"/>
        <v>0</v>
      </c>
      <c r="W165" s="1">
        <f t="shared" si="185"/>
        <v>23035.74</v>
      </c>
      <c r="X165" s="41">
        <v>23960.07</v>
      </c>
      <c r="Y165" s="41">
        <f t="shared" si="186"/>
        <v>924.32999999999811</v>
      </c>
      <c r="Z165" s="1">
        <f t="shared" si="187"/>
        <v>23960.07</v>
      </c>
      <c r="AA165" s="41">
        <v>23498.97</v>
      </c>
      <c r="AB165" s="1">
        <f t="shared" si="149"/>
        <v>-461.09999999999854</v>
      </c>
      <c r="AC165" s="1">
        <f t="shared" si="188"/>
        <v>23498.97</v>
      </c>
      <c r="AD165" s="41">
        <v>23851.47</v>
      </c>
      <c r="AE165" s="1">
        <f t="shared" si="189"/>
        <v>352.5</v>
      </c>
      <c r="AF165" s="1">
        <f t="shared" si="166"/>
        <v>23851.47</v>
      </c>
    </row>
    <row r="166" spans="1:32" s="2" customFormat="1" outlineLevel="1">
      <c r="A166" s="13">
        <v>16500</v>
      </c>
      <c r="B166" s="11">
        <v>12006</v>
      </c>
      <c r="C166" s="11" t="s">
        <v>81</v>
      </c>
      <c r="D166" s="7">
        <v>0</v>
      </c>
      <c r="E166" s="7">
        <v>4397.46</v>
      </c>
      <c r="F166" s="7">
        <f>D166-E166</f>
        <v>-4397.46</v>
      </c>
      <c r="G166" s="7">
        <v>4397.46</v>
      </c>
      <c r="H166" s="10">
        <f t="shared" si="177"/>
        <v>4397.46</v>
      </c>
      <c r="I166" s="16">
        <v>1990.38</v>
      </c>
      <c r="J166" s="16">
        <f t="shared" si="178"/>
        <v>2407.08</v>
      </c>
      <c r="K166" s="16">
        <v>-2407.08</v>
      </c>
      <c r="L166" s="1">
        <f t="shared" si="179"/>
        <v>1990.38</v>
      </c>
      <c r="M166" s="10">
        <f>2303.31-L166</f>
        <v>312.92999999999984</v>
      </c>
      <c r="N166" s="1">
        <f t="shared" si="180"/>
        <v>2303.31</v>
      </c>
      <c r="O166" s="1">
        <v>3030.57</v>
      </c>
      <c r="P166" s="1">
        <f t="shared" si="181"/>
        <v>727.26000000000022</v>
      </c>
      <c r="Q166" s="1">
        <f t="shared" si="182"/>
        <v>3030.57</v>
      </c>
      <c r="R166" s="41">
        <v>4936.84</v>
      </c>
      <c r="S166" s="1">
        <f t="shared" si="183"/>
        <v>1906.27</v>
      </c>
      <c r="T166" s="1">
        <f t="shared" si="141"/>
        <v>4936.84</v>
      </c>
      <c r="U166" s="41">
        <v>5397.94</v>
      </c>
      <c r="V166" s="1">
        <f t="shared" si="184"/>
        <v>461.09999999999945</v>
      </c>
      <c r="W166" s="1">
        <f t="shared" si="185"/>
        <v>5397.94</v>
      </c>
      <c r="X166" s="41">
        <v>6007.7</v>
      </c>
      <c r="Y166" s="41">
        <f t="shared" si="186"/>
        <v>609.76000000000022</v>
      </c>
      <c r="Z166" s="1">
        <f t="shared" si="187"/>
        <v>6007.7</v>
      </c>
      <c r="AA166" s="41">
        <v>4513.93</v>
      </c>
      <c r="AB166" s="1">
        <f t="shared" si="149"/>
        <v>-1493.7699999999995</v>
      </c>
      <c r="AC166" s="1">
        <f t="shared" si="188"/>
        <v>4513.93</v>
      </c>
      <c r="AD166" s="41">
        <v>5158.2</v>
      </c>
      <c r="AE166" s="1">
        <f t="shared" si="189"/>
        <v>644.26999999999953</v>
      </c>
      <c r="AF166" s="1">
        <f t="shared" si="166"/>
        <v>5158.2</v>
      </c>
    </row>
    <row r="167" spans="1:32" s="2" customFormat="1" outlineLevel="1">
      <c r="A167" s="13">
        <v>16500</v>
      </c>
      <c r="B167" s="11">
        <v>12100</v>
      </c>
      <c r="C167" s="11" t="s">
        <v>99</v>
      </c>
      <c r="D167" s="7">
        <v>37077.15</v>
      </c>
      <c r="E167" s="7">
        <v>16485.419999999998</v>
      </c>
      <c r="F167" s="7">
        <f>D167-E167</f>
        <v>20591.730000000003</v>
      </c>
      <c r="G167" s="7">
        <v>-20591.73</v>
      </c>
      <c r="H167" s="10">
        <f t="shared" si="177"/>
        <v>16485.420000000002</v>
      </c>
      <c r="I167" s="16">
        <v>19541.060000000001</v>
      </c>
      <c r="J167" s="16">
        <f t="shared" si="178"/>
        <v>-3055.6399999999994</v>
      </c>
      <c r="K167" s="16">
        <v>3055.64</v>
      </c>
      <c r="L167" s="1">
        <f t="shared" si="179"/>
        <v>19541.060000000001</v>
      </c>
      <c r="M167" s="10">
        <f>12664.82-L167</f>
        <v>-6876.2400000000016</v>
      </c>
      <c r="N167" s="1">
        <f t="shared" si="180"/>
        <v>12664.82</v>
      </c>
      <c r="O167" s="1">
        <v>16620.240000000002</v>
      </c>
      <c r="P167" s="1">
        <f t="shared" si="181"/>
        <v>3955.4200000000019</v>
      </c>
      <c r="Q167" s="1">
        <f t="shared" si="182"/>
        <v>16620.240000000002</v>
      </c>
      <c r="R167" s="41">
        <v>24531.08</v>
      </c>
      <c r="S167" s="1">
        <f t="shared" si="183"/>
        <v>7910.84</v>
      </c>
      <c r="T167" s="1">
        <f t="shared" si="141"/>
        <v>24531.08</v>
      </c>
      <c r="U167" s="41">
        <v>29115.24</v>
      </c>
      <c r="V167" s="1">
        <f t="shared" si="184"/>
        <v>4584.16</v>
      </c>
      <c r="W167" s="1">
        <f t="shared" si="185"/>
        <v>29115.24</v>
      </c>
      <c r="X167" s="41">
        <v>29406.38</v>
      </c>
      <c r="Y167" s="41">
        <f t="shared" si="186"/>
        <v>291.13999999999942</v>
      </c>
      <c r="Z167" s="1">
        <f t="shared" si="187"/>
        <v>29406.38</v>
      </c>
      <c r="AA167" s="41">
        <v>29700.78</v>
      </c>
      <c r="AB167" s="1">
        <f t="shared" si="149"/>
        <v>294.39999999999782</v>
      </c>
      <c r="AC167" s="1">
        <f t="shared" si="188"/>
        <v>29700.78</v>
      </c>
      <c r="AD167" s="41">
        <v>30147.45</v>
      </c>
      <c r="AE167" s="1">
        <f t="shared" si="189"/>
        <v>446.67000000000189</v>
      </c>
      <c r="AF167" s="1">
        <f t="shared" si="166"/>
        <v>30147.45</v>
      </c>
    </row>
    <row r="168" spans="1:32" outlineLevel="2">
      <c r="A168" s="13">
        <v>16500</v>
      </c>
      <c r="B168" s="11">
        <v>12101</v>
      </c>
      <c r="C168" s="11" t="s">
        <v>100</v>
      </c>
      <c r="D168" s="7">
        <v>0</v>
      </c>
      <c r="E168" s="7">
        <v>20702.96</v>
      </c>
      <c r="F168" s="7">
        <f>D168-E168</f>
        <v>-20702.96</v>
      </c>
      <c r="G168" s="7">
        <v>20702.96</v>
      </c>
      <c r="H168" s="10">
        <f t="shared" si="177"/>
        <v>20702.96</v>
      </c>
      <c r="I168" s="16">
        <v>31710.14</v>
      </c>
      <c r="J168" s="16">
        <f t="shared" si="178"/>
        <v>-11007.18</v>
      </c>
      <c r="K168" s="16">
        <v>11007.18</v>
      </c>
      <c r="L168" s="1">
        <f t="shared" si="179"/>
        <v>31710.14</v>
      </c>
      <c r="M168" s="7">
        <f>21347.76-L168</f>
        <v>-10362.380000000001</v>
      </c>
      <c r="N168" s="1">
        <f t="shared" si="180"/>
        <v>21347.759999999998</v>
      </c>
      <c r="O168" s="1">
        <v>26489.119999999999</v>
      </c>
      <c r="P168" s="1">
        <f t="shared" si="181"/>
        <v>5141.3600000000006</v>
      </c>
      <c r="Q168" s="1">
        <f t="shared" si="182"/>
        <v>26489.119999999999</v>
      </c>
      <c r="R168" s="41">
        <v>41332.620000000003</v>
      </c>
      <c r="S168" s="1">
        <f t="shared" si="183"/>
        <v>14843.500000000004</v>
      </c>
      <c r="T168" s="1">
        <f t="shared" si="141"/>
        <v>41332.620000000003</v>
      </c>
      <c r="U168" s="41">
        <v>46889.5</v>
      </c>
      <c r="V168" s="1">
        <f t="shared" si="184"/>
        <v>5556.8799999999974</v>
      </c>
      <c r="W168" s="1">
        <f t="shared" si="185"/>
        <v>46889.5</v>
      </c>
      <c r="X168" s="1">
        <v>47358.41</v>
      </c>
      <c r="Y168" s="41">
        <f t="shared" si="186"/>
        <v>468.91000000000349</v>
      </c>
      <c r="Z168" s="1">
        <f t="shared" si="187"/>
        <v>47358.41</v>
      </c>
      <c r="AA168" s="41">
        <v>47832.06</v>
      </c>
      <c r="AB168" s="1">
        <f t="shared" si="149"/>
        <v>473.64999999999418</v>
      </c>
      <c r="AC168" s="1">
        <f t="shared" si="188"/>
        <v>47832.06</v>
      </c>
      <c r="AD168" s="41">
        <v>48550.07</v>
      </c>
      <c r="AE168" s="1">
        <f t="shared" si="189"/>
        <v>718.01000000000204</v>
      </c>
      <c r="AF168" s="1">
        <f t="shared" si="166"/>
        <v>48550.07</v>
      </c>
    </row>
    <row r="169" spans="1:32" outlineLevel="2">
      <c r="A169" s="42">
        <v>16500</v>
      </c>
      <c r="B169" s="11">
        <v>13000</v>
      </c>
      <c r="C169" s="39" t="s">
        <v>810</v>
      </c>
      <c r="D169" s="7"/>
      <c r="E169" s="7"/>
      <c r="F169" s="7"/>
      <c r="G169" s="7"/>
      <c r="H169" s="10"/>
      <c r="I169" s="16"/>
      <c r="J169" s="16"/>
      <c r="K169" s="16"/>
      <c r="L169" s="1"/>
      <c r="N169" s="1"/>
      <c r="O169" s="1"/>
      <c r="R169" s="41"/>
      <c r="T169" s="1"/>
      <c r="U169" s="41"/>
      <c r="V169" s="1"/>
      <c r="W169" s="1">
        <v>0</v>
      </c>
      <c r="X169" s="1">
        <v>1818.1</v>
      </c>
      <c r="Y169" s="41">
        <f t="shared" ref="Y169" si="190">X169-W169</f>
        <v>1818.1</v>
      </c>
      <c r="Z169" s="1">
        <f t="shared" ref="Z169" si="191">W169+Y169</f>
        <v>1818.1</v>
      </c>
      <c r="AA169" s="41">
        <v>0</v>
      </c>
      <c r="AB169" s="1">
        <f t="shared" si="149"/>
        <v>-1818.1</v>
      </c>
      <c r="AC169" s="1">
        <f t="shared" si="188"/>
        <v>0</v>
      </c>
      <c r="AD169" s="41">
        <v>0</v>
      </c>
      <c r="AE169" s="1">
        <f t="shared" si="189"/>
        <v>0</v>
      </c>
      <c r="AF169" s="1">
        <f t="shared" si="166"/>
        <v>0</v>
      </c>
    </row>
    <row r="170" spans="1:32" outlineLevel="2">
      <c r="A170" s="13">
        <v>16500</v>
      </c>
      <c r="B170" s="19">
        <v>15100</v>
      </c>
      <c r="C170" s="19" t="s">
        <v>388</v>
      </c>
      <c r="D170" s="20">
        <v>8500</v>
      </c>
      <c r="E170" s="20">
        <v>2000</v>
      </c>
      <c r="F170" s="20">
        <f t="shared" ref="F170:F241" si="192">D170-E170</f>
        <v>6500</v>
      </c>
      <c r="G170" s="20">
        <v>-6500</v>
      </c>
      <c r="H170" s="20">
        <f t="shared" si="177"/>
        <v>2000</v>
      </c>
      <c r="I170" s="21">
        <v>2000</v>
      </c>
      <c r="J170" s="22">
        <f t="shared" si="178"/>
        <v>0</v>
      </c>
      <c r="K170" s="21">
        <v>0</v>
      </c>
      <c r="L170" s="21">
        <f t="shared" si="179"/>
        <v>2000</v>
      </c>
      <c r="M170" s="7">
        <v>-1000</v>
      </c>
      <c r="N170" s="1">
        <f t="shared" si="180"/>
        <v>1000</v>
      </c>
      <c r="O170" s="1">
        <v>1000</v>
      </c>
      <c r="P170" s="1">
        <f t="shared" si="181"/>
        <v>0</v>
      </c>
      <c r="Q170" s="1">
        <f t="shared" si="182"/>
        <v>1000</v>
      </c>
      <c r="R170" s="1">
        <v>3000</v>
      </c>
      <c r="S170" s="1">
        <f t="shared" si="183"/>
        <v>2000</v>
      </c>
      <c r="T170" s="1">
        <f t="shared" si="141"/>
        <v>3000</v>
      </c>
      <c r="U170" s="1">
        <v>3000</v>
      </c>
      <c r="V170" s="1">
        <f t="shared" si="184"/>
        <v>0</v>
      </c>
      <c r="W170" s="1">
        <f t="shared" si="185"/>
        <v>3000</v>
      </c>
      <c r="X170" s="1">
        <v>3000</v>
      </c>
      <c r="Y170" s="41">
        <f t="shared" si="186"/>
        <v>0</v>
      </c>
      <c r="Z170" s="1">
        <f t="shared" si="187"/>
        <v>3000</v>
      </c>
      <c r="AA170" s="41">
        <v>3300</v>
      </c>
      <c r="AB170" s="1">
        <f t="shared" si="149"/>
        <v>300</v>
      </c>
      <c r="AC170" s="1">
        <f t="shared" si="188"/>
        <v>3300</v>
      </c>
      <c r="AD170" s="41">
        <v>3300</v>
      </c>
      <c r="AE170" s="1">
        <f t="shared" si="189"/>
        <v>0</v>
      </c>
      <c r="AF170" s="1">
        <f t="shared" si="166"/>
        <v>3300</v>
      </c>
    </row>
    <row r="171" spans="1:32" outlineLevel="2">
      <c r="A171" s="13">
        <v>16500</v>
      </c>
      <c r="B171" s="60">
        <v>16000</v>
      </c>
      <c r="C171" s="56" t="s">
        <v>745</v>
      </c>
      <c r="D171" s="62"/>
      <c r="E171" s="64"/>
      <c r="F171" s="62"/>
      <c r="G171" s="64"/>
      <c r="H171" s="62"/>
      <c r="I171" s="64"/>
      <c r="J171" s="62"/>
      <c r="K171" s="64"/>
      <c r="L171" s="62"/>
      <c r="M171" s="63"/>
      <c r="N171" s="53"/>
      <c r="O171" s="53"/>
      <c r="P171" s="53"/>
      <c r="Q171" s="53"/>
      <c r="R171" s="58"/>
      <c r="S171" s="53"/>
      <c r="T171" s="53">
        <f t="shared" ref="T171" si="193">Q171+S171</f>
        <v>0</v>
      </c>
      <c r="U171" s="63"/>
      <c r="V171" s="53">
        <f t="shared" si="184"/>
        <v>0</v>
      </c>
      <c r="W171" s="53">
        <f t="shared" si="185"/>
        <v>0</v>
      </c>
      <c r="X171" s="1">
        <v>0</v>
      </c>
      <c r="Y171" s="41">
        <f t="shared" si="186"/>
        <v>0</v>
      </c>
      <c r="Z171" s="1">
        <f t="shared" si="187"/>
        <v>0</v>
      </c>
      <c r="AA171" s="41">
        <v>0</v>
      </c>
      <c r="AB171" s="1">
        <f t="shared" si="149"/>
        <v>0</v>
      </c>
      <c r="AC171" s="1">
        <f t="shared" si="188"/>
        <v>0</v>
      </c>
      <c r="AD171" s="41">
        <v>44884.86</v>
      </c>
      <c r="AE171" s="1">
        <f t="shared" si="189"/>
        <v>44884.86</v>
      </c>
      <c r="AF171" s="1">
        <f t="shared" si="166"/>
        <v>44884.86</v>
      </c>
    </row>
    <row r="172" spans="1:32" outlineLevel="2">
      <c r="A172" s="13">
        <v>16500</v>
      </c>
      <c r="B172" s="11">
        <v>20300</v>
      </c>
      <c r="C172" s="11" t="s">
        <v>344</v>
      </c>
      <c r="D172" s="7">
        <v>800</v>
      </c>
      <c r="E172" s="7"/>
      <c r="F172" s="7">
        <f t="shared" si="192"/>
        <v>800</v>
      </c>
      <c r="G172" s="7"/>
      <c r="H172" s="7">
        <f t="shared" si="177"/>
        <v>800</v>
      </c>
      <c r="I172" s="1"/>
      <c r="J172" s="1">
        <f t="shared" ref="J172:J179" si="194">H172-I172</f>
        <v>800</v>
      </c>
      <c r="K172" s="1"/>
      <c r="L172" s="1">
        <f t="shared" si="179"/>
        <v>800</v>
      </c>
      <c r="N172" s="1">
        <f t="shared" si="180"/>
        <v>800</v>
      </c>
      <c r="O172" s="1"/>
      <c r="Q172" s="1">
        <f t="shared" si="182"/>
        <v>800</v>
      </c>
      <c r="T172" s="1">
        <f t="shared" si="141"/>
        <v>800</v>
      </c>
      <c r="U172" s="1">
        <f t="shared" si="141"/>
        <v>800</v>
      </c>
      <c r="V172" s="1">
        <f t="shared" si="184"/>
        <v>0</v>
      </c>
      <c r="W172" s="1">
        <f t="shared" si="185"/>
        <v>800</v>
      </c>
      <c r="X172" s="1">
        <v>1500</v>
      </c>
      <c r="Y172" s="41">
        <f t="shared" si="186"/>
        <v>700</v>
      </c>
      <c r="Z172" s="1">
        <f t="shared" si="187"/>
        <v>1500</v>
      </c>
      <c r="AA172" s="1">
        <f t="shared" si="187"/>
        <v>3000</v>
      </c>
      <c r="AB172" s="1">
        <f t="shared" si="149"/>
        <v>1500</v>
      </c>
      <c r="AC172" s="1">
        <f t="shared" si="188"/>
        <v>3000</v>
      </c>
      <c r="AD172" s="41">
        <v>3300</v>
      </c>
      <c r="AE172" s="1">
        <f t="shared" si="189"/>
        <v>300</v>
      </c>
      <c r="AF172" s="1">
        <f t="shared" si="166"/>
        <v>3300</v>
      </c>
    </row>
    <row r="173" spans="1:32" outlineLevel="2">
      <c r="A173" s="13">
        <v>16500</v>
      </c>
      <c r="B173" s="11">
        <v>20400</v>
      </c>
      <c r="C173" s="11" t="s">
        <v>269</v>
      </c>
      <c r="D173" s="7">
        <v>8000</v>
      </c>
      <c r="E173" s="7"/>
      <c r="F173" s="7">
        <f t="shared" si="192"/>
        <v>8000</v>
      </c>
      <c r="G173" s="7"/>
      <c r="H173" s="7">
        <f t="shared" si="177"/>
        <v>8000</v>
      </c>
      <c r="I173" s="1"/>
      <c r="J173" s="1">
        <f t="shared" si="194"/>
        <v>8000</v>
      </c>
      <c r="K173" s="1"/>
      <c r="L173" s="1">
        <f t="shared" si="179"/>
        <v>8000</v>
      </c>
      <c r="N173" s="1">
        <f t="shared" si="180"/>
        <v>8000</v>
      </c>
      <c r="O173" s="1"/>
      <c r="Q173" s="1">
        <f t="shared" si="182"/>
        <v>8000</v>
      </c>
      <c r="R173" s="1">
        <v>255894.66</v>
      </c>
      <c r="T173" s="1">
        <f t="shared" si="141"/>
        <v>8000</v>
      </c>
      <c r="U173" s="1">
        <v>8000</v>
      </c>
      <c r="V173" s="1">
        <f t="shared" si="184"/>
        <v>0</v>
      </c>
      <c r="W173" s="1">
        <f t="shared" si="185"/>
        <v>8000</v>
      </c>
      <c r="X173" s="1">
        <v>9100</v>
      </c>
      <c r="Y173" s="41">
        <f t="shared" si="186"/>
        <v>1100</v>
      </c>
      <c r="Z173" s="1">
        <f t="shared" si="187"/>
        <v>9100</v>
      </c>
      <c r="AA173" s="1">
        <v>9100</v>
      </c>
      <c r="AB173" s="1">
        <f t="shared" si="149"/>
        <v>0</v>
      </c>
      <c r="AC173" s="1">
        <f t="shared" si="188"/>
        <v>9100</v>
      </c>
      <c r="AD173" s="41">
        <v>8500</v>
      </c>
      <c r="AE173" s="1">
        <f t="shared" si="189"/>
        <v>-600</v>
      </c>
      <c r="AF173" s="1">
        <f t="shared" si="166"/>
        <v>8500</v>
      </c>
    </row>
    <row r="174" spans="1:32" outlineLevel="2">
      <c r="A174" s="13">
        <v>16500</v>
      </c>
      <c r="B174" s="11">
        <v>21000</v>
      </c>
      <c r="C174" s="11" t="s">
        <v>389</v>
      </c>
      <c r="D174" s="7">
        <v>85009.95</v>
      </c>
      <c r="E174" s="7"/>
      <c r="F174" s="7">
        <f t="shared" si="192"/>
        <v>85009.95</v>
      </c>
      <c r="G174" s="7">
        <v>-5009.95</v>
      </c>
      <c r="H174" s="7">
        <f t="shared" si="177"/>
        <v>80000</v>
      </c>
      <c r="I174" s="1"/>
      <c r="J174" s="1">
        <f t="shared" si="194"/>
        <v>80000</v>
      </c>
      <c r="K174" s="1"/>
      <c r="L174" s="1">
        <f t="shared" si="179"/>
        <v>80000</v>
      </c>
      <c r="N174" s="1">
        <f t="shared" si="180"/>
        <v>80000</v>
      </c>
      <c r="O174" s="1"/>
      <c r="Q174" s="1">
        <f t="shared" si="182"/>
        <v>80000</v>
      </c>
      <c r="T174" s="1">
        <f t="shared" si="141"/>
        <v>80000</v>
      </c>
      <c r="U174" s="1">
        <f t="shared" si="141"/>
        <v>80000</v>
      </c>
      <c r="V174" s="1">
        <f t="shared" si="184"/>
        <v>0</v>
      </c>
      <c r="W174" s="1">
        <f t="shared" si="185"/>
        <v>80000</v>
      </c>
      <c r="X174" s="1">
        <v>80000</v>
      </c>
      <c r="Y174" s="41">
        <f t="shared" si="186"/>
        <v>0</v>
      </c>
      <c r="Z174" s="1">
        <f t="shared" si="187"/>
        <v>80000</v>
      </c>
      <c r="AA174" s="1">
        <v>80000</v>
      </c>
      <c r="AB174" s="1">
        <f t="shared" si="149"/>
        <v>0</v>
      </c>
      <c r="AC174" s="1">
        <f t="shared" si="188"/>
        <v>80000</v>
      </c>
      <c r="AD174" s="41">
        <v>70000</v>
      </c>
      <c r="AE174" s="1">
        <f t="shared" si="189"/>
        <v>-10000</v>
      </c>
      <c r="AF174" s="1">
        <f t="shared" si="166"/>
        <v>70000</v>
      </c>
    </row>
    <row r="175" spans="1:32" outlineLevel="2">
      <c r="A175" s="13">
        <v>16500</v>
      </c>
      <c r="B175" s="11">
        <v>21300</v>
      </c>
      <c r="C175" s="11" t="s">
        <v>380</v>
      </c>
      <c r="D175" s="7">
        <v>50000</v>
      </c>
      <c r="E175" s="7"/>
      <c r="F175" s="7">
        <f t="shared" si="192"/>
        <v>50000</v>
      </c>
      <c r="G175" s="7">
        <v>-5000</v>
      </c>
      <c r="H175" s="7">
        <f t="shared" si="177"/>
        <v>45000</v>
      </c>
      <c r="I175" s="1"/>
      <c r="J175" s="1">
        <f t="shared" si="194"/>
        <v>45000</v>
      </c>
      <c r="K175" s="1"/>
      <c r="L175" s="1">
        <f t="shared" si="179"/>
        <v>45000</v>
      </c>
      <c r="N175" s="1">
        <f t="shared" si="180"/>
        <v>45000</v>
      </c>
      <c r="O175" s="1"/>
      <c r="Q175" s="1">
        <f t="shared" si="182"/>
        <v>45000</v>
      </c>
      <c r="R175" s="1">
        <v>0</v>
      </c>
      <c r="T175" s="1">
        <f t="shared" si="141"/>
        <v>45000</v>
      </c>
      <c r="U175" s="1">
        <f t="shared" si="141"/>
        <v>45000</v>
      </c>
      <c r="V175" s="1">
        <f t="shared" si="184"/>
        <v>0</v>
      </c>
      <c r="W175" s="1">
        <f t="shared" si="185"/>
        <v>45000</v>
      </c>
      <c r="X175" s="1">
        <v>45000</v>
      </c>
      <c r="Y175" s="41">
        <f t="shared" si="186"/>
        <v>0</v>
      </c>
      <c r="Z175" s="1">
        <f t="shared" si="187"/>
        <v>45000</v>
      </c>
      <c r="AA175" s="1">
        <v>45000</v>
      </c>
      <c r="AB175" s="1">
        <f t="shared" si="149"/>
        <v>0</v>
      </c>
      <c r="AC175" s="1">
        <f t="shared" si="188"/>
        <v>45000</v>
      </c>
      <c r="AD175" s="41">
        <v>45000</v>
      </c>
      <c r="AE175" s="1">
        <f t="shared" si="189"/>
        <v>0</v>
      </c>
      <c r="AF175" s="1">
        <f t="shared" si="166"/>
        <v>45000</v>
      </c>
    </row>
    <row r="176" spans="1:32" outlineLevel="2">
      <c r="A176" s="13">
        <v>16500</v>
      </c>
      <c r="B176" s="11">
        <v>21400</v>
      </c>
      <c r="C176" s="11" t="s">
        <v>322</v>
      </c>
      <c r="D176" s="7">
        <v>1600</v>
      </c>
      <c r="E176" s="7"/>
      <c r="F176" s="7">
        <f t="shared" si="192"/>
        <v>1600</v>
      </c>
      <c r="G176" s="7"/>
      <c r="H176" s="7">
        <f t="shared" si="177"/>
        <v>1600</v>
      </c>
      <c r="I176" s="1"/>
      <c r="J176" s="1">
        <f t="shared" si="194"/>
        <v>1600</v>
      </c>
      <c r="K176" s="1"/>
      <c r="L176" s="1">
        <f t="shared" si="179"/>
        <v>1600</v>
      </c>
      <c r="N176" s="1">
        <f t="shared" si="180"/>
        <v>1600</v>
      </c>
      <c r="O176" s="1"/>
      <c r="Q176" s="1">
        <f t="shared" si="182"/>
        <v>1600</v>
      </c>
      <c r="T176" s="1">
        <f t="shared" si="141"/>
        <v>1600</v>
      </c>
      <c r="U176" s="1">
        <f t="shared" si="141"/>
        <v>1600</v>
      </c>
      <c r="V176" s="1">
        <f t="shared" si="184"/>
        <v>0</v>
      </c>
      <c r="W176" s="1">
        <f t="shared" si="185"/>
        <v>1600</v>
      </c>
      <c r="X176" s="1">
        <v>2000</v>
      </c>
      <c r="Y176" s="41">
        <f t="shared" si="186"/>
        <v>400</v>
      </c>
      <c r="Z176" s="1">
        <f t="shared" si="187"/>
        <v>2000</v>
      </c>
      <c r="AA176" s="1">
        <f>7260</f>
        <v>7260</v>
      </c>
      <c r="AB176" s="1">
        <f t="shared" si="149"/>
        <v>5260</v>
      </c>
      <c r="AC176" s="1">
        <f t="shared" si="188"/>
        <v>7260</v>
      </c>
      <c r="AD176" s="41">
        <v>7500</v>
      </c>
      <c r="AE176" s="1">
        <f t="shared" si="189"/>
        <v>240</v>
      </c>
      <c r="AF176" s="1">
        <f t="shared" si="166"/>
        <v>7500</v>
      </c>
    </row>
    <row r="177" spans="1:32" outlineLevel="2">
      <c r="A177" s="13">
        <v>16500</v>
      </c>
      <c r="B177" s="11">
        <v>22000</v>
      </c>
      <c r="C177" s="11" t="s">
        <v>280</v>
      </c>
      <c r="D177" s="7">
        <v>480</v>
      </c>
      <c r="E177" s="7"/>
      <c r="F177" s="7">
        <f t="shared" si="192"/>
        <v>480</v>
      </c>
      <c r="G177" s="7"/>
      <c r="H177" s="7">
        <f t="shared" si="177"/>
        <v>480</v>
      </c>
      <c r="I177" s="1"/>
      <c r="J177" s="1">
        <f t="shared" si="194"/>
        <v>480</v>
      </c>
      <c r="K177" s="1"/>
      <c r="L177" s="1">
        <f t="shared" si="179"/>
        <v>480</v>
      </c>
      <c r="N177" s="1">
        <f t="shared" si="180"/>
        <v>480</v>
      </c>
      <c r="O177" s="1"/>
      <c r="Q177" s="1">
        <f t="shared" si="182"/>
        <v>480</v>
      </c>
      <c r="T177" s="1">
        <f t="shared" si="141"/>
        <v>480</v>
      </c>
      <c r="U177" s="1">
        <f t="shared" si="141"/>
        <v>480</v>
      </c>
      <c r="V177" s="1">
        <f t="shared" si="184"/>
        <v>0</v>
      </c>
      <c r="W177" s="1">
        <f t="shared" si="185"/>
        <v>480</v>
      </c>
      <c r="X177" s="1">
        <v>300</v>
      </c>
      <c r="Y177" s="41">
        <f t="shared" si="186"/>
        <v>-180</v>
      </c>
      <c r="Z177" s="1">
        <f t="shared" si="187"/>
        <v>300</v>
      </c>
      <c r="AA177" s="1">
        <v>300</v>
      </c>
      <c r="AB177" s="1">
        <f t="shared" si="149"/>
        <v>0</v>
      </c>
      <c r="AC177" s="1">
        <f t="shared" si="188"/>
        <v>300</v>
      </c>
      <c r="AD177" s="41">
        <v>100</v>
      </c>
      <c r="AE177" s="1">
        <f t="shared" si="189"/>
        <v>-200</v>
      </c>
      <c r="AF177" s="1">
        <f t="shared" si="166"/>
        <v>100</v>
      </c>
    </row>
    <row r="178" spans="1:32" outlineLevel="2">
      <c r="A178" s="13">
        <v>16500</v>
      </c>
      <c r="B178" s="11">
        <v>22100</v>
      </c>
      <c r="C178" s="11" t="s">
        <v>390</v>
      </c>
      <c r="D178" s="7">
        <v>800000</v>
      </c>
      <c r="E178" s="7"/>
      <c r="F178" s="7">
        <f t="shared" si="192"/>
        <v>800000</v>
      </c>
      <c r="G178" s="7"/>
      <c r="H178" s="7">
        <f t="shared" si="177"/>
        <v>800000</v>
      </c>
      <c r="I178" s="1">
        <v>1200000</v>
      </c>
      <c r="J178" s="1">
        <f t="shared" si="194"/>
        <v>-400000</v>
      </c>
      <c r="K178" s="1">
        <v>400000</v>
      </c>
      <c r="L178" s="1">
        <f t="shared" si="179"/>
        <v>1200000</v>
      </c>
      <c r="M178" s="7">
        <v>150000</v>
      </c>
      <c r="N178" s="1">
        <f t="shared" si="180"/>
        <v>1350000</v>
      </c>
      <c r="O178" s="1"/>
      <c r="Q178" s="1">
        <f t="shared" si="182"/>
        <v>1350000</v>
      </c>
      <c r="T178" s="1">
        <f t="shared" si="141"/>
        <v>1350000</v>
      </c>
      <c r="U178" s="1">
        <f t="shared" si="141"/>
        <v>1350000</v>
      </c>
      <c r="V178" s="1">
        <f t="shared" si="184"/>
        <v>0</v>
      </c>
      <c r="W178" s="1">
        <f t="shared" si="185"/>
        <v>1350000</v>
      </c>
      <c r="X178" s="1">
        <v>1300000</v>
      </c>
      <c r="Y178" s="41">
        <f t="shared" si="186"/>
        <v>-50000</v>
      </c>
      <c r="Z178" s="1">
        <f t="shared" si="187"/>
        <v>1300000</v>
      </c>
      <c r="AA178" s="1">
        <v>1270000</v>
      </c>
      <c r="AB178" s="1">
        <f t="shared" si="149"/>
        <v>-30000</v>
      </c>
      <c r="AC178" s="1">
        <f t="shared" si="188"/>
        <v>1270000</v>
      </c>
      <c r="AD178" s="41">
        <v>1120000</v>
      </c>
      <c r="AE178" s="1">
        <f t="shared" si="189"/>
        <v>-150000</v>
      </c>
      <c r="AF178" s="1">
        <f t="shared" si="166"/>
        <v>1120000</v>
      </c>
    </row>
    <row r="179" spans="1:32" outlineLevel="2">
      <c r="A179" s="13">
        <v>16500</v>
      </c>
      <c r="B179" s="11">
        <v>22103</v>
      </c>
      <c r="C179" s="11" t="s">
        <v>391</v>
      </c>
      <c r="D179" s="7">
        <v>1600</v>
      </c>
      <c r="E179" s="7"/>
      <c r="F179" s="7">
        <f t="shared" si="192"/>
        <v>1600</v>
      </c>
      <c r="G179" s="7"/>
      <c r="H179" s="7">
        <f t="shared" si="177"/>
        <v>1600</v>
      </c>
      <c r="I179" s="1"/>
      <c r="J179" s="1">
        <f t="shared" si="194"/>
        <v>1600</v>
      </c>
      <c r="K179" s="1"/>
      <c r="L179" s="1">
        <f t="shared" si="179"/>
        <v>1600</v>
      </c>
      <c r="N179" s="1">
        <f t="shared" si="180"/>
        <v>1600</v>
      </c>
      <c r="O179" s="1"/>
      <c r="Q179" s="1">
        <f t="shared" si="182"/>
        <v>1600</v>
      </c>
      <c r="T179" s="1">
        <f t="shared" si="141"/>
        <v>1600</v>
      </c>
      <c r="U179" s="1">
        <f t="shared" si="141"/>
        <v>1600</v>
      </c>
      <c r="V179" s="1">
        <f t="shared" si="184"/>
        <v>0</v>
      </c>
      <c r="W179" s="1">
        <f t="shared" si="185"/>
        <v>1600</v>
      </c>
      <c r="X179" s="1">
        <v>1600</v>
      </c>
      <c r="Y179" s="41">
        <f t="shared" si="186"/>
        <v>0</v>
      </c>
      <c r="Z179" s="1">
        <f t="shared" si="187"/>
        <v>1600</v>
      </c>
      <c r="AA179" s="1">
        <v>1600</v>
      </c>
      <c r="AB179" s="1">
        <f t="shared" si="149"/>
        <v>0</v>
      </c>
      <c r="AC179" s="1">
        <f t="shared" si="188"/>
        <v>1600</v>
      </c>
      <c r="AD179" s="41">
        <v>2000</v>
      </c>
      <c r="AE179" s="1">
        <f t="shared" si="189"/>
        <v>400</v>
      </c>
      <c r="AF179" s="1">
        <f t="shared" si="166"/>
        <v>2000</v>
      </c>
    </row>
    <row r="180" spans="1:32" outlineLevel="2">
      <c r="A180" s="13">
        <v>16500</v>
      </c>
      <c r="B180" s="11">
        <v>22199</v>
      </c>
      <c r="C180" s="11" t="s">
        <v>232</v>
      </c>
      <c r="D180" s="7">
        <v>16020.24</v>
      </c>
      <c r="E180" s="7"/>
      <c r="F180" s="7">
        <f t="shared" si="192"/>
        <v>16020.24</v>
      </c>
      <c r="G180" s="7">
        <v>-6020.24</v>
      </c>
      <c r="H180" s="7">
        <f t="shared" si="177"/>
        <v>10000</v>
      </c>
      <c r="I180" s="1"/>
      <c r="J180" s="1">
        <f t="shared" ref="J180:J251" si="195">H180-I180</f>
        <v>10000</v>
      </c>
      <c r="K180" s="1"/>
      <c r="L180" s="1">
        <f t="shared" si="179"/>
        <v>10000</v>
      </c>
      <c r="N180" s="1">
        <f t="shared" si="180"/>
        <v>10000</v>
      </c>
      <c r="O180" s="1"/>
      <c r="Q180" s="1">
        <f t="shared" si="182"/>
        <v>10000</v>
      </c>
      <c r="R180" s="1">
        <v>158076.24</v>
      </c>
      <c r="T180" s="1">
        <f t="shared" si="141"/>
        <v>10000</v>
      </c>
      <c r="U180" s="1">
        <v>10000</v>
      </c>
      <c r="V180" s="1">
        <f t="shared" si="184"/>
        <v>0</v>
      </c>
      <c r="W180" s="1">
        <f t="shared" si="185"/>
        <v>10000</v>
      </c>
      <c r="X180" s="1">
        <v>25000</v>
      </c>
      <c r="Y180" s="41">
        <f t="shared" si="186"/>
        <v>15000</v>
      </c>
      <c r="Z180" s="1">
        <f t="shared" si="187"/>
        <v>25000</v>
      </c>
      <c r="AA180" s="1">
        <v>25000</v>
      </c>
      <c r="AB180" s="1">
        <f t="shared" si="149"/>
        <v>0</v>
      </c>
      <c r="AC180" s="1">
        <f t="shared" si="188"/>
        <v>25000</v>
      </c>
      <c r="AD180" s="41">
        <v>25000</v>
      </c>
      <c r="AE180" s="1">
        <f t="shared" si="189"/>
        <v>0</v>
      </c>
      <c r="AF180" s="1">
        <f t="shared" si="166"/>
        <v>25000</v>
      </c>
    </row>
    <row r="181" spans="1:32" s="2" customFormat="1" outlineLevel="1">
      <c r="A181" s="13">
        <v>16500</v>
      </c>
      <c r="B181" s="11">
        <v>22706</v>
      </c>
      <c r="C181" s="42" t="s">
        <v>898</v>
      </c>
      <c r="D181" s="7">
        <v>10000</v>
      </c>
      <c r="E181" s="7"/>
      <c r="F181" s="7">
        <f t="shared" si="192"/>
        <v>10000</v>
      </c>
      <c r="G181" s="7">
        <v>-3000</v>
      </c>
      <c r="H181" s="7">
        <f t="shared" si="177"/>
        <v>7000</v>
      </c>
      <c r="I181" s="1"/>
      <c r="J181" s="1">
        <f t="shared" si="195"/>
        <v>7000</v>
      </c>
      <c r="K181" s="1"/>
      <c r="L181" s="1">
        <f t="shared" si="179"/>
        <v>7000</v>
      </c>
      <c r="M181" s="8"/>
      <c r="N181" s="1">
        <f t="shared" si="180"/>
        <v>7000</v>
      </c>
      <c r="O181" s="1"/>
      <c r="P181" s="3"/>
      <c r="Q181" s="1">
        <f t="shared" si="182"/>
        <v>7000</v>
      </c>
      <c r="R181" s="3"/>
      <c r="S181" s="3"/>
      <c r="T181" s="1">
        <f t="shared" si="141"/>
        <v>7000</v>
      </c>
      <c r="U181" s="1">
        <f t="shared" si="141"/>
        <v>7000</v>
      </c>
      <c r="V181" s="1">
        <f t="shared" si="184"/>
        <v>0</v>
      </c>
      <c r="W181" s="1">
        <f t="shared" si="185"/>
        <v>7000</v>
      </c>
      <c r="X181" s="41">
        <v>7500</v>
      </c>
      <c r="Y181" s="41">
        <f t="shared" si="186"/>
        <v>500</v>
      </c>
      <c r="Z181" s="1">
        <f t="shared" si="187"/>
        <v>7500</v>
      </c>
      <c r="AA181" s="1">
        <v>7500</v>
      </c>
      <c r="AB181" s="1">
        <f t="shared" si="149"/>
        <v>0</v>
      </c>
      <c r="AC181" s="1">
        <f t="shared" si="188"/>
        <v>7500</v>
      </c>
      <c r="AD181" s="41">
        <v>7500</v>
      </c>
      <c r="AE181" s="1">
        <f t="shared" si="189"/>
        <v>0</v>
      </c>
      <c r="AF181" s="1">
        <f t="shared" si="166"/>
        <v>7500</v>
      </c>
    </row>
    <row r="182" spans="1:32" s="2" customFormat="1" outlineLevel="1">
      <c r="A182" s="9" t="s">
        <v>8</v>
      </c>
      <c r="B182" s="9"/>
      <c r="C182" s="9" t="s">
        <v>35</v>
      </c>
      <c r="D182" s="8">
        <f t="shared" ref="D182:Q182" si="196">SUBTOTAL(9,D163:D181)</f>
        <v>1019087.34</v>
      </c>
      <c r="E182" s="8">
        <f t="shared" si="196"/>
        <v>64722.18</v>
      </c>
      <c r="F182" s="8">
        <f t="shared" si="196"/>
        <v>954365.16</v>
      </c>
      <c r="G182" s="8">
        <f t="shared" si="196"/>
        <v>114.83999999999833</v>
      </c>
      <c r="H182" s="8">
        <f t="shared" si="196"/>
        <v>1019202.1799999999</v>
      </c>
      <c r="I182" s="8">
        <f t="shared" si="196"/>
        <v>1289094.55</v>
      </c>
      <c r="J182" s="8">
        <f t="shared" si="196"/>
        <v>-269892.37</v>
      </c>
      <c r="K182" s="8">
        <f t="shared" si="196"/>
        <v>424372.37</v>
      </c>
      <c r="L182" s="8">
        <f t="shared" si="196"/>
        <v>1443574.55</v>
      </c>
      <c r="M182" s="8">
        <f t="shared" si="196"/>
        <v>119506.44</v>
      </c>
      <c r="N182" s="8">
        <f t="shared" si="196"/>
        <v>1563080.99</v>
      </c>
      <c r="O182" s="8">
        <f t="shared" si="196"/>
        <v>76103.61</v>
      </c>
      <c r="P182" s="8">
        <f t="shared" si="196"/>
        <v>17502.620000000003</v>
      </c>
      <c r="Q182" s="8">
        <f t="shared" si="196"/>
        <v>1580583.6099999999</v>
      </c>
      <c r="R182" s="3"/>
      <c r="S182" s="8">
        <f>SUBTOTAL(9,S163:S181)</f>
        <v>42017.770000000004</v>
      </c>
      <c r="T182" s="8">
        <f>SUBTOTAL(9,T163:T181)</f>
        <v>1622601.38</v>
      </c>
      <c r="U182" s="8">
        <f>SUBTOTAL(9,U163:U181)</f>
        <v>1641582.1</v>
      </c>
      <c r="V182" s="8">
        <f>SUBTOTAL(9,V163:V181)</f>
        <v>18980.719999999998</v>
      </c>
      <c r="W182" s="8">
        <f>SUBTOTAL(9,W163:W181)</f>
        <v>1641582.1</v>
      </c>
      <c r="X182" s="8">
        <f t="shared" ref="X182:AB182" si="197">SUBTOTAL(9,X163:X181)</f>
        <v>1615471.04</v>
      </c>
      <c r="Y182" s="8">
        <f t="shared" si="197"/>
        <v>-26111.059999999998</v>
      </c>
      <c r="Z182" s="8">
        <f t="shared" si="197"/>
        <v>1615471.04</v>
      </c>
      <c r="AA182" s="8">
        <f t="shared" si="197"/>
        <v>1590555.58</v>
      </c>
      <c r="AB182" s="8">
        <f t="shared" si="197"/>
        <v>-24915.460000000006</v>
      </c>
      <c r="AC182" s="8">
        <f>SUBTOTAL(9,AC163:AC181)</f>
        <v>1590555.58</v>
      </c>
      <c r="AD182" s="8">
        <f t="shared" ref="AD182:AF182" si="198">SUBTOTAL(9,AD163:AD181)</f>
        <v>1475506.33</v>
      </c>
      <c r="AE182" s="8">
        <f t="shared" si="198"/>
        <v>-115049.25</v>
      </c>
      <c r="AF182" s="8">
        <f t="shared" si="198"/>
        <v>1475506.33</v>
      </c>
    </row>
    <row r="183" spans="1:32" s="2" customFormat="1" outlineLevel="1">
      <c r="A183" s="13">
        <v>17000</v>
      </c>
      <c r="B183" s="11">
        <v>12000</v>
      </c>
      <c r="C183" s="11" t="s">
        <v>101</v>
      </c>
      <c r="D183" s="7">
        <v>50865.41</v>
      </c>
      <c r="E183" s="7">
        <v>19095.759999999998</v>
      </c>
      <c r="F183" s="7">
        <f t="shared" ref="F183:F190" si="199">D183-E183</f>
        <v>31769.650000000005</v>
      </c>
      <c r="G183" s="7">
        <v>-31769.65</v>
      </c>
      <c r="H183" s="7">
        <f t="shared" ref="H183:H217" si="200">D183+G183</f>
        <v>19095.760000000002</v>
      </c>
      <c r="I183" s="16">
        <v>14677.32</v>
      </c>
      <c r="J183" s="1">
        <f t="shared" si="195"/>
        <v>4418.4400000000023</v>
      </c>
      <c r="K183" s="16">
        <v>-4418.4399999999996</v>
      </c>
      <c r="L183" s="1">
        <f t="shared" ref="L183:L217" si="201">H183+K183</f>
        <v>14677.320000000003</v>
      </c>
      <c r="M183" s="10">
        <v>0</v>
      </c>
      <c r="N183" s="1">
        <f t="shared" ref="N183:N217" si="202">L183+M183</f>
        <v>14677.320000000003</v>
      </c>
      <c r="O183" s="1">
        <v>14677.32</v>
      </c>
      <c r="P183" s="1">
        <f t="shared" ref="P183:P190" si="203">O183-N183</f>
        <v>0</v>
      </c>
      <c r="Q183" s="1">
        <f t="shared" ref="Q183:Q217" si="204">N183+P183</f>
        <v>14677.320000000003</v>
      </c>
      <c r="R183" s="41">
        <v>14677.32</v>
      </c>
      <c r="S183" s="1">
        <f t="shared" ref="S183:S190" si="205">R183-Q183</f>
        <v>0</v>
      </c>
      <c r="T183" s="1">
        <f t="shared" si="141"/>
        <v>14677.320000000003</v>
      </c>
      <c r="U183" s="41">
        <v>21591.29</v>
      </c>
      <c r="V183" s="1">
        <f t="shared" ref="V183:V217" si="206">U183-T183</f>
        <v>6913.9699999999975</v>
      </c>
      <c r="W183" s="1">
        <f t="shared" ref="W183:W217" si="207">T183+V183</f>
        <v>21591.29</v>
      </c>
      <c r="X183" s="41">
        <v>30689.91</v>
      </c>
      <c r="Y183" s="41">
        <f t="shared" ref="Y183:Y205" si="208">X183-W183</f>
        <v>9098.619999999999</v>
      </c>
      <c r="Z183" s="1">
        <f t="shared" ref="Z183:Z217" si="209">W183+Y183</f>
        <v>30689.91</v>
      </c>
      <c r="AA183" s="41">
        <v>59889.81</v>
      </c>
      <c r="AB183" s="1">
        <f t="shared" si="149"/>
        <v>29199.899999999998</v>
      </c>
      <c r="AC183" s="1">
        <f t="shared" ref="AC183:AC219" si="210">Z183+AB183</f>
        <v>59889.81</v>
      </c>
      <c r="AD183" s="41">
        <v>62205.79</v>
      </c>
      <c r="AE183" s="1">
        <f t="shared" ref="AE183:AE221" si="211">AD183-AC183</f>
        <v>2315.9800000000032</v>
      </c>
      <c r="AF183" s="1">
        <f t="shared" si="166"/>
        <v>62205.79</v>
      </c>
    </row>
    <row r="184" spans="1:32" s="2" customFormat="1" outlineLevel="1">
      <c r="A184" s="42">
        <v>17000</v>
      </c>
      <c r="B184" s="11">
        <v>12001</v>
      </c>
      <c r="C184" s="42" t="s">
        <v>678</v>
      </c>
      <c r="D184" s="7"/>
      <c r="E184" s="7"/>
      <c r="F184" s="7"/>
      <c r="G184" s="7"/>
      <c r="H184" s="7"/>
      <c r="I184" s="16"/>
      <c r="J184" s="1"/>
      <c r="K184" s="16"/>
      <c r="L184" s="1"/>
      <c r="M184" s="10"/>
      <c r="N184" s="1"/>
      <c r="O184" s="1"/>
      <c r="P184" s="1"/>
      <c r="Q184" s="1">
        <v>0</v>
      </c>
      <c r="R184" s="41">
        <v>12906.52</v>
      </c>
      <c r="S184" s="1">
        <f>R184-Q184</f>
        <v>12906.52</v>
      </c>
      <c r="T184" s="1">
        <f>Q184+S184</f>
        <v>12906.52</v>
      </c>
      <c r="U184" s="41">
        <v>12906.52</v>
      </c>
      <c r="V184" s="1">
        <f t="shared" si="206"/>
        <v>0</v>
      </c>
      <c r="W184" s="1">
        <f t="shared" si="207"/>
        <v>12906.52</v>
      </c>
      <c r="X184" s="41">
        <v>13035.59</v>
      </c>
      <c r="Y184" s="41">
        <f t="shared" si="208"/>
        <v>129.06999999999971</v>
      </c>
      <c r="Z184" s="1">
        <f t="shared" si="209"/>
        <v>13035.59</v>
      </c>
      <c r="AA184" s="41">
        <v>13165.95</v>
      </c>
      <c r="AB184" s="1">
        <f t="shared" si="149"/>
        <v>130.36000000000058</v>
      </c>
      <c r="AC184" s="1">
        <f t="shared" si="210"/>
        <v>13165.95</v>
      </c>
      <c r="AD184" s="41">
        <v>13363.5</v>
      </c>
      <c r="AE184" s="1">
        <f t="shared" si="211"/>
        <v>197.54999999999927</v>
      </c>
      <c r="AF184" s="1">
        <f t="shared" si="166"/>
        <v>13363.5</v>
      </c>
    </row>
    <row r="185" spans="1:32" s="2" customFormat="1" outlineLevel="1">
      <c r="A185" s="13">
        <v>17000</v>
      </c>
      <c r="B185" s="11">
        <v>12003</v>
      </c>
      <c r="C185" s="11" t="s">
        <v>564</v>
      </c>
      <c r="D185" s="7">
        <v>0</v>
      </c>
      <c r="E185" s="10">
        <v>12562.53</v>
      </c>
      <c r="F185" s="7">
        <f t="shared" si="199"/>
        <v>-12562.53</v>
      </c>
      <c r="G185" s="10">
        <v>12562.53</v>
      </c>
      <c r="H185" s="7">
        <f t="shared" si="200"/>
        <v>12562.53</v>
      </c>
      <c r="I185" s="16">
        <v>9884.84</v>
      </c>
      <c r="J185" s="1">
        <f t="shared" si="195"/>
        <v>2677.6900000000005</v>
      </c>
      <c r="K185" s="16">
        <v>-2677.69</v>
      </c>
      <c r="L185" s="1">
        <f t="shared" si="201"/>
        <v>9884.84</v>
      </c>
      <c r="M185" s="10">
        <v>0</v>
      </c>
      <c r="N185" s="1">
        <f t="shared" si="202"/>
        <v>9884.84</v>
      </c>
      <c r="O185" s="1">
        <v>9884.84</v>
      </c>
      <c r="P185" s="1">
        <f t="shared" si="203"/>
        <v>0</v>
      </c>
      <c r="Q185" s="1">
        <f t="shared" si="204"/>
        <v>9884.84</v>
      </c>
      <c r="R185" s="41">
        <v>9884.84</v>
      </c>
      <c r="S185" s="1">
        <f t="shared" si="205"/>
        <v>0</v>
      </c>
      <c r="T185" s="1">
        <f t="shared" si="141"/>
        <v>9884.84</v>
      </c>
      <c r="U185" s="41">
        <v>9884.84</v>
      </c>
      <c r="V185" s="1">
        <f t="shared" si="206"/>
        <v>0</v>
      </c>
      <c r="W185" s="1">
        <f t="shared" si="207"/>
        <v>9884.84</v>
      </c>
      <c r="X185" s="41">
        <v>20909.330000000002</v>
      </c>
      <c r="Y185" s="41">
        <f t="shared" si="208"/>
        <v>11024.490000000002</v>
      </c>
      <c r="Z185" s="1">
        <f t="shared" si="209"/>
        <v>20909.330000000002</v>
      </c>
      <c r="AA185" s="41">
        <v>43082.5</v>
      </c>
      <c r="AB185" s="1">
        <f t="shared" si="149"/>
        <v>22173.17</v>
      </c>
      <c r="AC185" s="1">
        <f t="shared" si="210"/>
        <v>43082.5</v>
      </c>
      <c r="AD185" s="41">
        <v>40940.04</v>
      </c>
      <c r="AE185" s="1">
        <f t="shared" si="211"/>
        <v>-2142.4599999999991</v>
      </c>
      <c r="AF185" s="1">
        <f t="shared" si="166"/>
        <v>40940.04</v>
      </c>
    </row>
    <row r="186" spans="1:32" s="2" customFormat="1" outlineLevel="1">
      <c r="A186" s="13">
        <v>17000</v>
      </c>
      <c r="B186" s="11">
        <v>12004</v>
      </c>
      <c r="C186" s="11" t="s">
        <v>102</v>
      </c>
      <c r="D186" s="7">
        <v>0</v>
      </c>
      <c r="E186" s="7">
        <v>9988.7999999999993</v>
      </c>
      <c r="F186" s="7">
        <f t="shared" si="199"/>
        <v>-9988.7999999999993</v>
      </c>
      <c r="G186" s="7">
        <v>9988.7999999999993</v>
      </c>
      <c r="H186" s="7">
        <f t="shared" si="200"/>
        <v>9988.7999999999993</v>
      </c>
      <c r="I186" s="16">
        <v>8378.58</v>
      </c>
      <c r="J186" s="1">
        <f t="shared" si="195"/>
        <v>1610.2199999999993</v>
      </c>
      <c r="K186" s="16">
        <v>-1610.22</v>
      </c>
      <c r="L186" s="1">
        <f t="shared" si="201"/>
        <v>8378.58</v>
      </c>
      <c r="M186" s="10">
        <v>0</v>
      </c>
      <c r="N186" s="1">
        <f t="shared" si="202"/>
        <v>8378.58</v>
      </c>
      <c r="O186" s="1">
        <v>8378.58</v>
      </c>
      <c r="P186" s="1">
        <f t="shared" si="203"/>
        <v>0</v>
      </c>
      <c r="Q186" s="1">
        <f t="shared" si="204"/>
        <v>8378.58</v>
      </c>
      <c r="R186" s="41">
        <v>8378.58</v>
      </c>
      <c r="S186" s="1">
        <f t="shared" si="205"/>
        <v>0</v>
      </c>
      <c r="T186" s="1">
        <f t="shared" si="141"/>
        <v>8378.58</v>
      </c>
      <c r="U186" s="41">
        <v>16757.16</v>
      </c>
      <c r="V186" s="1">
        <f t="shared" si="206"/>
        <v>8378.58</v>
      </c>
      <c r="W186" s="1">
        <f t="shared" si="207"/>
        <v>16757.16</v>
      </c>
      <c r="X186" s="41">
        <v>26157.01</v>
      </c>
      <c r="Y186" s="41">
        <f t="shared" si="208"/>
        <v>9399.8499999999985</v>
      </c>
      <c r="Z186" s="1">
        <f t="shared" si="209"/>
        <v>26157.01</v>
      </c>
      <c r="AA186" s="41">
        <v>34188.32</v>
      </c>
      <c r="AB186" s="1">
        <f t="shared" si="149"/>
        <v>8031.3100000000013</v>
      </c>
      <c r="AC186" s="1">
        <f t="shared" si="210"/>
        <v>34188.32</v>
      </c>
      <c r="AD186" s="41">
        <v>44936.95</v>
      </c>
      <c r="AE186" s="1">
        <f t="shared" si="211"/>
        <v>10748.629999999997</v>
      </c>
      <c r="AF186" s="1">
        <f t="shared" si="166"/>
        <v>44936.95</v>
      </c>
    </row>
    <row r="187" spans="1:32" s="2" customFormat="1" outlineLevel="1">
      <c r="A187" s="42">
        <v>17000</v>
      </c>
      <c r="B187" s="11">
        <v>12005</v>
      </c>
      <c r="C187" s="39" t="s">
        <v>942</v>
      </c>
      <c r="D187" s="7"/>
      <c r="E187" s="7"/>
      <c r="F187" s="7"/>
      <c r="G187" s="7"/>
      <c r="H187" s="7"/>
      <c r="I187" s="16"/>
      <c r="J187" s="1"/>
      <c r="K187" s="16"/>
      <c r="L187" s="1"/>
      <c r="M187" s="10"/>
      <c r="N187" s="1"/>
      <c r="O187" s="1"/>
      <c r="P187" s="1"/>
      <c r="Q187" s="1"/>
      <c r="R187" s="41"/>
      <c r="S187" s="1"/>
      <c r="T187" s="1"/>
      <c r="U187" s="41"/>
      <c r="V187" s="1"/>
      <c r="W187" s="1"/>
      <c r="X187" s="41"/>
      <c r="Y187" s="41"/>
      <c r="Z187" s="1"/>
      <c r="AA187" s="41"/>
      <c r="AB187" s="1"/>
      <c r="AC187" s="1">
        <v>0</v>
      </c>
      <c r="AD187" s="41">
        <v>15900.91</v>
      </c>
      <c r="AE187" s="1">
        <f t="shared" ref="AE187" si="212">AD187-AC187</f>
        <v>15900.91</v>
      </c>
      <c r="AF187" s="1">
        <f t="shared" ref="AF187" si="213">AC187+AE187</f>
        <v>15900.91</v>
      </c>
    </row>
    <row r="188" spans="1:32" s="2" customFormat="1" outlineLevel="1">
      <c r="A188" s="13">
        <v>17000</v>
      </c>
      <c r="B188" s="11">
        <v>12006</v>
      </c>
      <c r="C188" s="11" t="s">
        <v>81</v>
      </c>
      <c r="D188" s="7">
        <v>0</v>
      </c>
      <c r="E188" s="7">
        <v>3110.16</v>
      </c>
      <c r="F188" s="7">
        <f t="shared" si="199"/>
        <v>-3110.16</v>
      </c>
      <c r="G188" s="7">
        <v>3110.16</v>
      </c>
      <c r="H188" s="7">
        <f t="shared" si="200"/>
        <v>3110.16</v>
      </c>
      <c r="I188" s="16">
        <v>5298.02</v>
      </c>
      <c r="J188" s="1">
        <f t="shared" si="195"/>
        <v>-2187.8600000000006</v>
      </c>
      <c r="K188" s="16">
        <v>2187.86</v>
      </c>
      <c r="L188" s="1">
        <f t="shared" si="201"/>
        <v>5298.02</v>
      </c>
      <c r="M188" s="10">
        <f>5895.12-L188</f>
        <v>597.09999999999945</v>
      </c>
      <c r="N188" s="1">
        <f t="shared" si="202"/>
        <v>5895.12</v>
      </c>
      <c r="O188" s="1">
        <v>5895.12</v>
      </c>
      <c r="P188" s="1">
        <f t="shared" si="203"/>
        <v>0</v>
      </c>
      <c r="Q188" s="1">
        <f t="shared" si="204"/>
        <v>5895.12</v>
      </c>
      <c r="R188" s="41">
        <v>7254.14</v>
      </c>
      <c r="S188" s="1">
        <f t="shared" si="205"/>
        <v>1359.0200000000004</v>
      </c>
      <c r="T188" s="1">
        <f t="shared" si="141"/>
        <v>7254.14</v>
      </c>
      <c r="U188" s="41">
        <v>10421.6</v>
      </c>
      <c r="V188" s="1">
        <f t="shared" si="206"/>
        <v>3167.46</v>
      </c>
      <c r="W188" s="1">
        <f t="shared" si="207"/>
        <v>10421.6</v>
      </c>
      <c r="X188" s="41">
        <v>18591.09</v>
      </c>
      <c r="Y188" s="41">
        <f t="shared" si="208"/>
        <v>8169.49</v>
      </c>
      <c r="Z188" s="1">
        <f t="shared" si="209"/>
        <v>18591.09</v>
      </c>
      <c r="AA188" s="41">
        <v>28732.58</v>
      </c>
      <c r="AB188" s="1">
        <f t="shared" si="149"/>
        <v>10141.490000000002</v>
      </c>
      <c r="AC188" s="1">
        <f t="shared" si="210"/>
        <v>28732.58</v>
      </c>
      <c r="AD188" s="41">
        <v>33564.339999999997</v>
      </c>
      <c r="AE188" s="1">
        <f t="shared" si="211"/>
        <v>4831.7599999999948</v>
      </c>
      <c r="AF188" s="1">
        <f t="shared" si="166"/>
        <v>33564.339999999997</v>
      </c>
    </row>
    <row r="189" spans="1:32" s="2" customFormat="1" outlineLevel="1">
      <c r="A189" s="13">
        <v>17000</v>
      </c>
      <c r="B189" s="11">
        <v>12100</v>
      </c>
      <c r="C189" s="11" t="s">
        <v>103</v>
      </c>
      <c r="D189" s="7">
        <v>45159.199999999997</v>
      </c>
      <c r="E189" s="7">
        <v>16485.419999999998</v>
      </c>
      <c r="F189" s="7">
        <f t="shared" si="199"/>
        <v>28673.78</v>
      </c>
      <c r="G189" s="7">
        <v>-28673.78</v>
      </c>
      <c r="H189" s="7">
        <f t="shared" si="200"/>
        <v>16485.419999999998</v>
      </c>
      <c r="I189" s="16">
        <v>19215</v>
      </c>
      <c r="J189" s="1">
        <f t="shared" si="195"/>
        <v>-2729.5800000000017</v>
      </c>
      <c r="K189" s="16">
        <v>2729.58</v>
      </c>
      <c r="L189" s="1">
        <f t="shared" si="201"/>
        <v>19215</v>
      </c>
      <c r="M189" s="10">
        <f>0</f>
        <v>0</v>
      </c>
      <c r="N189" s="1">
        <f t="shared" si="202"/>
        <v>19215</v>
      </c>
      <c r="O189" s="1">
        <v>19215</v>
      </c>
      <c r="P189" s="1">
        <f t="shared" si="203"/>
        <v>0</v>
      </c>
      <c r="Q189" s="1">
        <f t="shared" si="204"/>
        <v>19215</v>
      </c>
      <c r="R189" s="41">
        <v>26352.76</v>
      </c>
      <c r="S189" s="1">
        <f t="shared" si="205"/>
        <v>7137.7599999999984</v>
      </c>
      <c r="T189" s="1">
        <f t="shared" si="141"/>
        <v>26352.76</v>
      </c>
      <c r="U189" s="41">
        <v>35493.4</v>
      </c>
      <c r="V189" s="1">
        <f t="shared" si="206"/>
        <v>9140.6400000000031</v>
      </c>
      <c r="W189" s="1">
        <f t="shared" si="207"/>
        <v>35493.4</v>
      </c>
      <c r="X189" s="41">
        <v>51170.26</v>
      </c>
      <c r="Y189" s="41">
        <f t="shared" si="208"/>
        <v>15676.86</v>
      </c>
      <c r="Z189" s="1">
        <f t="shared" si="209"/>
        <v>51170.26</v>
      </c>
      <c r="AA189" s="41">
        <v>87847.81</v>
      </c>
      <c r="AB189" s="1">
        <f t="shared" si="149"/>
        <v>36677.549999999996</v>
      </c>
      <c r="AC189" s="1">
        <f t="shared" si="210"/>
        <v>87847.81</v>
      </c>
      <c r="AD189" s="41">
        <v>102430.99</v>
      </c>
      <c r="AE189" s="1">
        <f t="shared" si="211"/>
        <v>14583.180000000008</v>
      </c>
      <c r="AF189" s="1">
        <f t="shared" si="166"/>
        <v>102430.99</v>
      </c>
    </row>
    <row r="190" spans="1:32" outlineLevel="2">
      <c r="A190" s="13">
        <v>17000</v>
      </c>
      <c r="B190" s="11">
        <v>12101</v>
      </c>
      <c r="C190" s="11" t="s">
        <v>104</v>
      </c>
      <c r="D190" s="7">
        <v>0</v>
      </c>
      <c r="E190" s="7">
        <v>20563.599999999999</v>
      </c>
      <c r="F190" s="7">
        <f t="shared" si="199"/>
        <v>-20563.599999999999</v>
      </c>
      <c r="G190" s="7">
        <v>20563.599999999999</v>
      </c>
      <c r="H190" s="7">
        <f t="shared" si="200"/>
        <v>20563.599999999999</v>
      </c>
      <c r="I190" s="16">
        <v>24746.82</v>
      </c>
      <c r="J190" s="1">
        <f t="shared" si="195"/>
        <v>-4183.2200000000012</v>
      </c>
      <c r="K190" s="16">
        <v>4183.22</v>
      </c>
      <c r="L190" s="1">
        <f t="shared" si="201"/>
        <v>24746.82</v>
      </c>
      <c r="M190" s="7">
        <v>0</v>
      </c>
      <c r="N190" s="1">
        <f t="shared" si="202"/>
        <v>24746.82</v>
      </c>
      <c r="O190" s="1">
        <v>24746.82</v>
      </c>
      <c r="P190" s="1">
        <f t="shared" si="203"/>
        <v>0</v>
      </c>
      <c r="Q190" s="1">
        <f t="shared" si="204"/>
        <v>24746.82</v>
      </c>
      <c r="R190" s="41">
        <v>33383.699999999997</v>
      </c>
      <c r="S190" s="1">
        <f t="shared" si="205"/>
        <v>8636.8799999999974</v>
      </c>
      <c r="T190" s="1">
        <f t="shared" si="141"/>
        <v>33383.699999999997</v>
      </c>
      <c r="U190" s="1">
        <v>49408.85</v>
      </c>
      <c r="V190" s="1">
        <f t="shared" si="206"/>
        <v>16025.150000000001</v>
      </c>
      <c r="W190" s="1">
        <f t="shared" si="207"/>
        <v>49408.85</v>
      </c>
      <c r="X190" s="1">
        <v>71658.97</v>
      </c>
      <c r="Y190" s="41">
        <f t="shared" si="208"/>
        <v>22250.120000000003</v>
      </c>
      <c r="Z190" s="1">
        <f t="shared" si="209"/>
        <v>71658.97</v>
      </c>
      <c r="AA190" s="41">
        <v>130275.55</v>
      </c>
      <c r="AB190" s="1">
        <f t="shared" si="149"/>
        <v>58616.58</v>
      </c>
      <c r="AC190" s="1">
        <f t="shared" si="210"/>
        <v>130275.55</v>
      </c>
      <c r="AD190" s="41">
        <v>149151.71</v>
      </c>
      <c r="AE190" s="1">
        <f t="shared" si="211"/>
        <v>18876.159999999989</v>
      </c>
      <c r="AF190" s="1">
        <f t="shared" si="166"/>
        <v>149151.71</v>
      </c>
    </row>
    <row r="191" spans="1:32" outlineLevel="2">
      <c r="A191" s="11">
        <v>17000</v>
      </c>
      <c r="B191" s="11">
        <v>13000</v>
      </c>
      <c r="C191" s="42" t="s">
        <v>795</v>
      </c>
      <c r="D191" s="7"/>
      <c r="E191" s="7"/>
      <c r="F191" s="7"/>
      <c r="G191" s="7"/>
      <c r="H191" s="7"/>
      <c r="I191" s="16"/>
      <c r="J191" s="1"/>
      <c r="K191" s="16"/>
      <c r="L191" s="1"/>
      <c r="N191" s="1"/>
      <c r="O191" s="1"/>
      <c r="R191" s="41"/>
      <c r="T191" s="1"/>
      <c r="V191" s="1"/>
      <c r="W191" s="1">
        <v>0</v>
      </c>
      <c r="X191" s="1">
        <v>1259.01</v>
      </c>
      <c r="Y191" s="41">
        <f t="shared" ref="Y191:Y194" si="214">X191-W191</f>
        <v>1259.01</v>
      </c>
      <c r="Z191" s="1">
        <f t="shared" ref="Z191:Z194" si="215">W191+Y191</f>
        <v>1259.01</v>
      </c>
      <c r="AA191" s="41">
        <v>15648.93</v>
      </c>
      <c r="AB191" s="1">
        <f t="shared" si="149"/>
        <v>14389.92</v>
      </c>
      <c r="AC191" s="1">
        <f t="shared" si="210"/>
        <v>15648.93</v>
      </c>
      <c r="AD191" s="41">
        <v>25734.73</v>
      </c>
      <c r="AE191" s="1">
        <f t="shared" si="211"/>
        <v>10085.799999999999</v>
      </c>
      <c r="AF191" s="1">
        <f t="shared" si="166"/>
        <v>25734.73</v>
      </c>
    </row>
    <row r="192" spans="1:32" outlineLevel="2">
      <c r="A192" s="11">
        <v>17000</v>
      </c>
      <c r="B192" s="11">
        <v>13002</v>
      </c>
      <c r="C192" s="42" t="s">
        <v>796</v>
      </c>
      <c r="D192" s="7"/>
      <c r="E192" s="7"/>
      <c r="F192" s="7"/>
      <c r="G192" s="7"/>
      <c r="H192" s="7"/>
      <c r="I192" s="16"/>
      <c r="J192" s="1"/>
      <c r="K192" s="16"/>
      <c r="L192" s="1"/>
      <c r="N192" s="1"/>
      <c r="O192" s="1"/>
      <c r="R192" s="41"/>
      <c r="T192" s="1"/>
      <c r="V192" s="1"/>
      <c r="W192" s="1">
        <v>0</v>
      </c>
      <c r="X192" s="1">
        <v>0</v>
      </c>
      <c r="Y192" s="41">
        <f t="shared" si="214"/>
        <v>0</v>
      </c>
      <c r="Z192" s="1">
        <f t="shared" si="215"/>
        <v>0</v>
      </c>
      <c r="AA192" s="41">
        <v>16091.74</v>
      </c>
      <c r="AB192" s="1">
        <f t="shared" si="149"/>
        <v>16091.74</v>
      </c>
      <c r="AC192" s="1">
        <f t="shared" si="210"/>
        <v>16091.74</v>
      </c>
      <c r="AD192" s="41">
        <v>26833.32</v>
      </c>
      <c r="AE192" s="1">
        <f t="shared" si="211"/>
        <v>10741.58</v>
      </c>
      <c r="AF192" s="1">
        <f t="shared" si="166"/>
        <v>26833.32</v>
      </c>
    </row>
    <row r="193" spans="1:32" outlineLevel="2">
      <c r="A193" s="11">
        <v>17000</v>
      </c>
      <c r="B193" s="19">
        <v>13100</v>
      </c>
      <c r="C193" s="42" t="s">
        <v>797</v>
      </c>
      <c r="D193" s="7"/>
      <c r="E193" s="7"/>
      <c r="F193" s="7"/>
      <c r="G193" s="7"/>
      <c r="H193" s="7"/>
      <c r="I193" s="16"/>
      <c r="J193" s="1"/>
      <c r="K193" s="16"/>
      <c r="L193" s="1"/>
      <c r="N193" s="1"/>
      <c r="O193" s="1"/>
      <c r="R193" s="41"/>
      <c r="T193" s="1"/>
      <c r="V193" s="1"/>
      <c r="W193" s="1">
        <v>0</v>
      </c>
      <c r="X193" s="1">
        <v>2585.12</v>
      </c>
      <c r="Y193" s="41">
        <f t="shared" si="214"/>
        <v>2585.12</v>
      </c>
      <c r="Z193" s="1">
        <f t="shared" si="215"/>
        <v>2585.12</v>
      </c>
      <c r="AA193" s="41">
        <v>0</v>
      </c>
      <c r="AB193" s="1">
        <f t="shared" si="149"/>
        <v>-2585.12</v>
      </c>
      <c r="AC193" s="1">
        <f t="shared" si="210"/>
        <v>0</v>
      </c>
      <c r="AD193" s="41">
        <v>0</v>
      </c>
      <c r="AE193" s="1">
        <f t="shared" si="211"/>
        <v>0</v>
      </c>
      <c r="AF193" s="1">
        <f t="shared" si="166"/>
        <v>0</v>
      </c>
    </row>
    <row r="194" spans="1:32" outlineLevel="2">
      <c r="A194" s="11">
        <v>17000</v>
      </c>
      <c r="B194" s="19">
        <v>13101</v>
      </c>
      <c r="C194" s="42" t="s">
        <v>798</v>
      </c>
      <c r="D194" s="7"/>
      <c r="E194" s="7"/>
      <c r="F194" s="7"/>
      <c r="G194" s="7"/>
      <c r="H194" s="7"/>
      <c r="I194" s="16"/>
      <c r="J194" s="1"/>
      <c r="K194" s="16"/>
      <c r="L194" s="1"/>
      <c r="N194" s="1"/>
      <c r="O194" s="1"/>
      <c r="R194" s="41"/>
      <c r="T194" s="1"/>
      <c r="V194" s="1"/>
      <c r="W194" s="1">
        <v>0</v>
      </c>
      <c r="X194" s="1">
        <v>3062.58</v>
      </c>
      <c r="Y194" s="41">
        <f t="shared" si="214"/>
        <v>3062.58</v>
      </c>
      <c r="Z194" s="1">
        <f t="shared" si="215"/>
        <v>3062.58</v>
      </c>
      <c r="AA194" s="41">
        <v>0</v>
      </c>
      <c r="AB194" s="1">
        <f t="shared" si="149"/>
        <v>-3062.58</v>
      </c>
      <c r="AC194" s="1">
        <f t="shared" si="210"/>
        <v>0</v>
      </c>
      <c r="AD194" s="41">
        <v>0</v>
      </c>
      <c r="AE194" s="1">
        <f t="shared" si="211"/>
        <v>0</v>
      </c>
      <c r="AF194" s="1">
        <f t="shared" si="166"/>
        <v>0</v>
      </c>
    </row>
    <row r="195" spans="1:32" outlineLevel="2">
      <c r="A195" s="11">
        <v>17000</v>
      </c>
      <c r="B195" s="19">
        <v>15100</v>
      </c>
      <c r="C195" s="19" t="s">
        <v>388</v>
      </c>
      <c r="D195" s="7"/>
      <c r="E195" s="7"/>
      <c r="F195" s="7"/>
      <c r="G195" s="7"/>
      <c r="H195" s="7"/>
      <c r="I195" s="16"/>
      <c r="J195" s="1"/>
      <c r="K195" s="16"/>
      <c r="L195" s="1"/>
      <c r="N195" s="1"/>
      <c r="O195" s="1"/>
      <c r="R195" s="41"/>
      <c r="T195" s="1"/>
      <c r="V195" s="1"/>
      <c r="W195" s="1"/>
      <c r="Y195" s="41"/>
      <c r="Z195" s="1">
        <v>0</v>
      </c>
      <c r="AA195" s="41">
        <v>1700</v>
      </c>
      <c r="AB195" s="1">
        <f t="shared" ref="AB195" si="216">AA195-Z195</f>
        <v>1700</v>
      </c>
      <c r="AC195" s="1">
        <f t="shared" ref="AC195" si="217">Z195+AB195</f>
        <v>1700</v>
      </c>
      <c r="AD195" s="41">
        <v>1700</v>
      </c>
      <c r="AE195" s="1">
        <f t="shared" si="211"/>
        <v>0</v>
      </c>
      <c r="AF195" s="1">
        <f t="shared" si="166"/>
        <v>1700</v>
      </c>
    </row>
    <row r="196" spans="1:32" outlineLevel="2">
      <c r="A196" s="11">
        <v>17000</v>
      </c>
      <c r="B196" s="60">
        <v>16000</v>
      </c>
      <c r="C196" s="56" t="s">
        <v>943</v>
      </c>
      <c r="D196" s="7"/>
      <c r="E196" s="7"/>
      <c r="F196" s="7"/>
      <c r="G196" s="7"/>
      <c r="H196" s="7"/>
      <c r="I196" s="16"/>
      <c r="J196" s="1"/>
      <c r="K196" s="16"/>
      <c r="L196" s="1"/>
      <c r="N196" s="1"/>
      <c r="O196" s="1"/>
      <c r="R196" s="41"/>
      <c r="T196" s="1"/>
      <c r="V196" s="1"/>
      <c r="W196" s="1"/>
      <c r="Y196" s="41"/>
      <c r="Z196" s="1"/>
      <c r="AA196" s="41"/>
      <c r="AB196" s="1"/>
      <c r="AC196" s="1">
        <v>0</v>
      </c>
      <c r="AD196" s="41">
        <v>147591.39000000001</v>
      </c>
      <c r="AE196" s="1">
        <f t="shared" ref="AE196" si="218">AD196-AC196</f>
        <v>147591.39000000001</v>
      </c>
      <c r="AF196" s="1">
        <f t="shared" ref="AF196" si="219">AC196+AE196</f>
        <v>147591.39000000001</v>
      </c>
    </row>
    <row r="197" spans="1:32" outlineLevel="2">
      <c r="A197" s="13">
        <v>17000</v>
      </c>
      <c r="B197" s="11">
        <v>20300</v>
      </c>
      <c r="C197" s="11" t="s">
        <v>344</v>
      </c>
      <c r="D197" s="7">
        <v>2554.3000000000002</v>
      </c>
      <c r="E197" s="7"/>
      <c r="F197" s="7">
        <f t="shared" si="192"/>
        <v>2554.3000000000002</v>
      </c>
      <c r="G197" s="7"/>
      <c r="H197" s="7">
        <f t="shared" si="200"/>
        <v>2554.3000000000002</v>
      </c>
      <c r="I197" s="1"/>
      <c r="J197" s="1">
        <f t="shared" si="195"/>
        <v>2554.3000000000002</v>
      </c>
      <c r="K197" s="1"/>
      <c r="L197" s="1">
        <f t="shared" si="201"/>
        <v>2554.3000000000002</v>
      </c>
      <c r="N197" s="1">
        <f t="shared" si="202"/>
        <v>2554.3000000000002</v>
      </c>
      <c r="O197" s="1"/>
      <c r="Q197" s="1">
        <f t="shared" si="204"/>
        <v>2554.3000000000002</v>
      </c>
      <c r="S197" s="1">
        <v>15000</v>
      </c>
      <c r="T197" s="1">
        <f t="shared" si="141"/>
        <v>17554.3</v>
      </c>
      <c r="U197" s="1">
        <f t="shared" si="141"/>
        <v>17554.3</v>
      </c>
      <c r="V197" s="1">
        <f t="shared" si="206"/>
        <v>0</v>
      </c>
      <c r="W197" s="1">
        <f t="shared" si="207"/>
        <v>17554.3</v>
      </c>
      <c r="X197" s="1">
        <v>18000</v>
      </c>
      <c r="Y197" s="41">
        <f t="shared" si="208"/>
        <v>445.70000000000073</v>
      </c>
      <c r="Z197" s="1">
        <f t="shared" si="209"/>
        <v>18000</v>
      </c>
      <c r="AA197" s="1">
        <v>9000</v>
      </c>
      <c r="AB197" s="1">
        <f t="shared" si="149"/>
        <v>-9000</v>
      </c>
      <c r="AC197" s="1">
        <f t="shared" si="210"/>
        <v>9000</v>
      </c>
      <c r="AD197" s="41">
        <v>0</v>
      </c>
      <c r="AE197" s="1">
        <f t="shared" si="211"/>
        <v>-9000</v>
      </c>
      <c r="AF197" s="1">
        <f t="shared" si="166"/>
        <v>0</v>
      </c>
    </row>
    <row r="198" spans="1:32" outlineLevel="2">
      <c r="A198" s="42">
        <v>17000</v>
      </c>
      <c r="B198" s="11">
        <v>20400</v>
      </c>
      <c r="C198" s="11" t="s">
        <v>934</v>
      </c>
      <c r="D198" s="7"/>
      <c r="E198" s="7"/>
      <c r="F198" s="7"/>
      <c r="G198" s="7"/>
      <c r="H198" s="7"/>
      <c r="I198" s="1"/>
      <c r="J198" s="1"/>
      <c r="K198" s="1"/>
      <c r="L198" s="1"/>
      <c r="N198" s="1"/>
      <c r="O198" s="1"/>
      <c r="T198" s="1"/>
      <c r="V198" s="1"/>
      <c r="W198" s="1"/>
      <c r="Y198" s="41"/>
      <c r="Z198" s="1"/>
      <c r="AB198" s="1"/>
      <c r="AC198" s="1">
        <v>0</v>
      </c>
      <c r="AD198" s="41">
        <v>16000</v>
      </c>
      <c r="AE198" s="1">
        <f t="shared" ref="AE198" si="220">AD198-AC198</f>
        <v>16000</v>
      </c>
      <c r="AF198" s="1">
        <f t="shared" ref="AF198" si="221">AC198+AE198</f>
        <v>16000</v>
      </c>
    </row>
    <row r="199" spans="1:32" outlineLevel="2">
      <c r="A199" s="42">
        <v>17000</v>
      </c>
      <c r="B199" s="11">
        <v>20900</v>
      </c>
      <c r="C199" s="11" t="s">
        <v>885</v>
      </c>
      <c r="D199" s="7"/>
      <c r="E199" s="7"/>
      <c r="F199" s="7"/>
      <c r="G199" s="7"/>
      <c r="H199" s="7"/>
      <c r="I199" s="1"/>
      <c r="J199" s="1"/>
      <c r="K199" s="1"/>
      <c r="L199" s="1"/>
      <c r="N199" s="1"/>
      <c r="O199" s="1"/>
      <c r="T199" s="1"/>
      <c r="V199" s="1"/>
      <c r="W199" s="1"/>
      <c r="Y199" s="41"/>
      <c r="Z199" s="1"/>
      <c r="AB199" s="1"/>
      <c r="AC199" s="1">
        <v>0</v>
      </c>
      <c r="AD199" s="41">
        <v>90000</v>
      </c>
      <c r="AE199" s="1">
        <f t="shared" ref="AE199" si="222">AD199-AC199</f>
        <v>90000</v>
      </c>
      <c r="AF199" s="1">
        <f t="shared" ref="AF199" si="223">AC199+AE199</f>
        <v>90000</v>
      </c>
    </row>
    <row r="200" spans="1:32" outlineLevel="2">
      <c r="A200" s="42">
        <v>17000</v>
      </c>
      <c r="B200" s="11">
        <v>21000</v>
      </c>
      <c r="C200" s="11" t="s">
        <v>924</v>
      </c>
      <c r="D200" s="7"/>
      <c r="E200" s="7"/>
      <c r="F200" s="7"/>
      <c r="G200" s="7"/>
      <c r="H200" s="7"/>
      <c r="I200" s="1"/>
      <c r="J200" s="1"/>
      <c r="K200" s="1"/>
      <c r="L200" s="1"/>
      <c r="N200" s="1"/>
      <c r="O200" s="1"/>
      <c r="T200" s="1"/>
      <c r="V200" s="1"/>
      <c r="W200" s="1"/>
      <c r="Y200" s="41"/>
      <c r="Z200" s="1"/>
      <c r="AB200" s="1"/>
      <c r="AC200" s="1">
        <v>0</v>
      </c>
      <c r="AD200" s="41">
        <v>20000</v>
      </c>
      <c r="AE200" s="1">
        <f t="shared" ref="AE200" si="224">AD200-AC200</f>
        <v>20000</v>
      </c>
      <c r="AF200" s="1">
        <f t="shared" ref="AF200" si="225">AC200+AE200</f>
        <v>20000</v>
      </c>
    </row>
    <row r="201" spans="1:32" outlineLevel="2">
      <c r="A201" s="42">
        <v>17000</v>
      </c>
      <c r="B201" s="11">
        <v>21200</v>
      </c>
      <c r="C201" s="39" t="s">
        <v>806</v>
      </c>
      <c r="D201" s="7"/>
      <c r="E201" s="7"/>
      <c r="F201" s="7"/>
      <c r="G201" s="7"/>
      <c r="H201" s="7"/>
      <c r="I201" s="1"/>
      <c r="J201" s="1"/>
      <c r="K201" s="1"/>
      <c r="L201" s="1"/>
      <c r="N201" s="1"/>
      <c r="O201" s="1"/>
      <c r="T201" s="1"/>
      <c r="V201" s="1"/>
      <c r="W201" s="1">
        <v>0</v>
      </c>
      <c r="X201" s="1">
        <v>30000</v>
      </c>
      <c r="Y201" s="41">
        <f t="shared" ref="Y201" si="226">X201-W201</f>
        <v>30000</v>
      </c>
      <c r="Z201" s="1">
        <f t="shared" ref="Z201" si="227">W201+Y201</f>
        <v>30000</v>
      </c>
      <c r="AA201" s="1">
        <v>30000</v>
      </c>
      <c r="AB201" s="1">
        <f t="shared" si="149"/>
        <v>0</v>
      </c>
      <c r="AC201" s="1">
        <f t="shared" si="210"/>
        <v>30000</v>
      </c>
      <c r="AD201" s="41">
        <v>10000</v>
      </c>
      <c r="AE201" s="1">
        <f t="shared" si="211"/>
        <v>-20000</v>
      </c>
      <c r="AF201" s="1">
        <f t="shared" si="166"/>
        <v>10000</v>
      </c>
    </row>
    <row r="202" spans="1:32" outlineLevel="2">
      <c r="A202" s="13">
        <v>17000</v>
      </c>
      <c r="B202" s="11">
        <v>21300</v>
      </c>
      <c r="C202" s="11" t="s">
        <v>380</v>
      </c>
      <c r="D202" s="7">
        <v>1500</v>
      </c>
      <c r="E202" s="7"/>
      <c r="F202" s="7">
        <f t="shared" si="192"/>
        <v>1500</v>
      </c>
      <c r="G202" s="7"/>
      <c r="H202" s="7">
        <f t="shared" si="200"/>
        <v>1500</v>
      </c>
      <c r="I202" s="1"/>
      <c r="J202" s="1">
        <f t="shared" si="195"/>
        <v>1500</v>
      </c>
      <c r="K202" s="1"/>
      <c r="L202" s="1">
        <f t="shared" si="201"/>
        <v>1500</v>
      </c>
      <c r="N202" s="1">
        <f t="shared" si="202"/>
        <v>1500</v>
      </c>
      <c r="O202" s="1"/>
      <c r="Q202" s="1">
        <f t="shared" si="204"/>
        <v>1500</v>
      </c>
      <c r="S202" s="1">
        <v>18500</v>
      </c>
      <c r="T202" s="1">
        <f t="shared" si="141"/>
        <v>20000</v>
      </c>
      <c r="U202" s="1">
        <v>29000</v>
      </c>
      <c r="V202" s="1">
        <v>9000</v>
      </c>
      <c r="W202" s="1">
        <f t="shared" si="207"/>
        <v>29000</v>
      </c>
      <c r="X202" s="1">
        <v>29000</v>
      </c>
      <c r="Y202" s="41">
        <f t="shared" si="208"/>
        <v>0</v>
      </c>
      <c r="Z202" s="1">
        <f t="shared" si="209"/>
        <v>29000</v>
      </c>
      <c r="AA202" s="1">
        <v>10000</v>
      </c>
      <c r="AB202" s="1">
        <f t="shared" si="149"/>
        <v>-19000</v>
      </c>
      <c r="AC202" s="1">
        <f t="shared" si="210"/>
        <v>10000</v>
      </c>
      <c r="AD202" s="41">
        <v>0</v>
      </c>
      <c r="AE202" s="1">
        <f t="shared" si="211"/>
        <v>-10000</v>
      </c>
      <c r="AF202" s="1">
        <f t="shared" si="166"/>
        <v>0</v>
      </c>
    </row>
    <row r="203" spans="1:32" outlineLevel="2">
      <c r="A203" s="13">
        <v>17000</v>
      </c>
      <c r="B203" s="11">
        <v>21301</v>
      </c>
      <c r="C203" s="11" t="s">
        <v>418</v>
      </c>
      <c r="D203" s="7">
        <v>3000</v>
      </c>
      <c r="E203" s="7"/>
      <c r="F203" s="7">
        <f t="shared" si="192"/>
        <v>3000</v>
      </c>
      <c r="G203" s="7"/>
      <c r="H203" s="7">
        <f t="shared" si="200"/>
        <v>3000</v>
      </c>
      <c r="I203" s="1"/>
      <c r="J203" s="1">
        <f t="shared" si="195"/>
        <v>3000</v>
      </c>
      <c r="K203" s="1"/>
      <c r="L203" s="1">
        <f t="shared" si="201"/>
        <v>3000</v>
      </c>
      <c r="N203" s="1">
        <f t="shared" si="202"/>
        <v>3000</v>
      </c>
      <c r="O203" s="1"/>
      <c r="Q203" s="1">
        <f t="shared" si="204"/>
        <v>3000</v>
      </c>
      <c r="T203" s="1">
        <f t="shared" si="141"/>
        <v>3000</v>
      </c>
      <c r="U203" s="1">
        <f t="shared" si="141"/>
        <v>3000</v>
      </c>
      <c r="V203" s="1">
        <f t="shared" si="206"/>
        <v>0</v>
      </c>
      <c r="W203" s="1">
        <f t="shared" si="207"/>
        <v>3000</v>
      </c>
      <c r="X203" s="1">
        <v>5000</v>
      </c>
      <c r="Y203" s="41">
        <f t="shared" si="208"/>
        <v>2000</v>
      </c>
      <c r="Z203" s="1">
        <f t="shared" si="209"/>
        <v>5000</v>
      </c>
      <c r="AA203" s="1">
        <v>5000</v>
      </c>
      <c r="AB203" s="1">
        <f t="shared" si="149"/>
        <v>0</v>
      </c>
      <c r="AC203" s="1">
        <f t="shared" si="210"/>
        <v>5000</v>
      </c>
      <c r="AD203" s="41">
        <v>0</v>
      </c>
      <c r="AE203" s="1">
        <f t="shared" si="211"/>
        <v>-5000</v>
      </c>
      <c r="AF203" s="1">
        <f t="shared" si="166"/>
        <v>0</v>
      </c>
    </row>
    <row r="204" spans="1:32" outlineLevel="2">
      <c r="A204" s="13">
        <v>17000</v>
      </c>
      <c r="B204" s="11">
        <v>21400</v>
      </c>
      <c r="C204" s="11" t="s">
        <v>322</v>
      </c>
      <c r="D204" s="7">
        <v>500</v>
      </c>
      <c r="E204" s="7"/>
      <c r="F204" s="7">
        <f t="shared" si="192"/>
        <v>500</v>
      </c>
      <c r="G204" s="7"/>
      <c r="H204" s="7">
        <f t="shared" si="200"/>
        <v>500</v>
      </c>
      <c r="I204" s="1"/>
      <c r="J204" s="1">
        <f t="shared" si="195"/>
        <v>500</v>
      </c>
      <c r="K204" s="1"/>
      <c r="L204" s="1">
        <f t="shared" si="201"/>
        <v>500</v>
      </c>
      <c r="N204" s="1">
        <f t="shared" si="202"/>
        <v>500</v>
      </c>
      <c r="O204" s="1"/>
      <c r="Q204" s="1">
        <f t="shared" si="204"/>
        <v>500</v>
      </c>
      <c r="T204" s="1">
        <f t="shared" si="141"/>
        <v>500</v>
      </c>
      <c r="U204" s="1">
        <f t="shared" si="141"/>
        <v>500</v>
      </c>
      <c r="V204" s="1">
        <f t="shared" si="206"/>
        <v>0</v>
      </c>
      <c r="W204" s="1">
        <f t="shared" si="207"/>
        <v>500</v>
      </c>
      <c r="X204" s="1">
        <v>3000</v>
      </c>
      <c r="Y204" s="41">
        <f t="shared" si="208"/>
        <v>2500</v>
      </c>
      <c r="Z204" s="1">
        <f t="shared" si="209"/>
        <v>3000</v>
      </c>
      <c r="AA204" s="1">
        <v>3000</v>
      </c>
      <c r="AB204" s="1">
        <f t="shared" si="149"/>
        <v>0</v>
      </c>
      <c r="AC204" s="1">
        <f t="shared" si="210"/>
        <v>3000</v>
      </c>
      <c r="AD204" s="41">
        <v>3000</v>
      </c>
      <c r="AE204" s="1">
        <f t="shared" si="211"/>
        <v>0</v>
      </c>
      <c r="AF204" s="1">
        <f t="shared" si="166"/>
        <v>3000</v>
      </c>
    </row>
    <row r="205" spans="1:32" outlineLevel="2">
      <c r="A205" s="13">
        <v>17000</v>
      </c>
      <c r="B205" s="11">
        <v>22000</v>
      </c>
      <c r="C205" s="11" t="s">
        <v>280</v>
      </c>
      <c r="D205" s="7">
        <v>500</v>
      </c>
      <c r="E205" s="7"/>
      <c r="F205" s="7">
        <f t="shared" si="192"/>
        <v>500</v>
      </c>
      <c r="G205" s="7"/>
      <c r="H205" s="7">
        <f t="shared" si="200"/>
        <v>500</v>
      </c>
      <c r="I205" s="1"/>
      <c r="J205" s="1">
        <f t="shared" si="195"/>
        <v>500</v>
      </c>
      <c r="K205" s="1"/>
      <c r="L205" s="1">
        <f t="shared" si="201"/>
        <v>500</v>
      </c>
      <c r="N205" s="1">
        <f t="shared" si="202"/>
        <v>500</v>
      </c>
      <c r="O205" s="1"/>
      <c r="Q205" s="1">
        <f t="shared" si="204"/>
        <v>500</v>
      </c>
      <c r="T205" s="1">
        <f t="shared" si="141"/>
        <v>500</v>
      </c>
      <c r="U205" s="1">
        <f t="shared" si="141"/>
        <v>500</v>
      </c>
      <c r="V205" s="1">
        <f t="shared" si="206"/>
        <v>0</v>
      </c>
      <c r="W205" s="1">
        <f t="shared" si="207"/>
        <v>500</v>
      </c>
      <c r="X205" s="1">
        <v>250</v>
      </c>
      <c r="Y205" s="41">
        <f t="shared" si="208"/>
        <v>-250</v>
      </c>
      <c r="Z205" s="1">
        <f t="shared" si="209"/>
        <v>250</v>
      </c>
      <c r="AA205" s="1">
        <v>250</v>
      </c>
      <c r="AB205" s="1">
        <f t="shared" si="149"/>
        <v>0</v>
      </c>
      <c r="AC205" s="1">
        <f t="shared" si="210"/>
        <v>250</v>
      </c>
      <c r="AD205" s="41">
        <v>500</v>
      </c>
      <c r="AE205" s="1">
        <f t="shared" si="211"/>
        <v>250</v>
      </c>
      <c r="AF205" s="1">
        <f t="shared" si="166"/>
        <v>500</v>
      </c>
    </row>
    <row r="206" spans="1:32" outlineLevel="2">
      <c r="A206" s="42">
        <v>17000</v>
      </c>
      <c r="B206" s="11">
        <v>22101</v>
      </c>
      <c r="C206" s="39" t="s">
        <v>248</v>
      </c>
      <c r="D206" s="7"/>
      <c r="E206" s="7"/>
      <c r="F206" s="7"/>
      <c r="G206" s="7"/>
      <c r="H206" s="7"/>
      <c r="I206" s="1"/>
      <c r="J206" s="1"/>
      <c r="K206" s="1"/>
      <c r="L206" s="1"/>
      <c r="N206" s="1"/>
      <c r="O206" s="1"/>
      <c r="T206" s="1"/>
      <c r="V206" s="1"/>
      <c r="W206" s="1"/>
      <c r="Y206" s="41"/>
      <c r="Z206" s="1"/>
      <c r="AB206" s="1"/>
      <c r="AC206" s="1">
        <v>0</v>
      </c>
      <c r="AD206" s="41">
        <v>100</v>
      </c>
      <c r="AE206" s="1">
        <f t="shared" ref="AE206" si="228">AD206-AC206</f>
        <v>100</v>
      </c>
      <c r="AF206" s="1">
        <f t="shared" ref="AF206" si="229">AC206+AE206</f>
        <v>100</v>
      </c>
    </row>
    <row r="207" spans="1:32" outlineLevel="2">
      <c r="A207" s="13">
        <v>17000</v>
      </c>
      <c r="B207" s="11">
        <v>22103</v>
      </c>
      <c r="C207" s="11" t="s">
        <v>391</v>
      </c>
      <c r="D207" s="7">
        <v>2105</v>
      </c>
      <c r="E207" s="7"/>
      <c r="F207" s="7">
        <f t="shared" si="192"/>
        <v>2105</v>
      </c>
      <c r="G207" s="7"/>
      <c r="H207" s="7">
        <f t="shared" si="200"/>
        <v>2105</v>
      </c>
      <c r="I207" s="1"/>
      <c r="J207" s="1">
        <f t="shared" si="195"/>
        <v>2105</v>
      </c>
      <c r="K207" s="1"/>
      <c r="L207" s="1">
        <f t="shared" si="201"/>
        <v>2105</v>
      </c>
      <c r="N207" s="1">
        <f t="shared" si="202"/>
        <v>2105</v>
      </c>
      <c r="O207" s="1"/>
      <c r="Q207" s="1">
        <f t="shared" si="204"/>
        <v>2105</v>
      </c>
      <c r="S207" s="1">
        <v>3000</v>
      </c>
      <c r="T207" s="1">
        <f t="shared" ref="T207:U217" si="230">Q207+S207</f>
        <v>5105</v>
      </c>
      <c r="U207" s="1">
        <f t="shared" si="230"/>
        <v>5105</v>
      </c>
      <c r="V207" s="1">
        <f t="shared" si="206"/>
        <v>0</v>
      </c>
      <c r="W207" s="1">
        <f t="shared" si="207"/>
        <v>5105</v>
      </c>
      <c r="X207" s="1">
        <v>3500</v>
      </c>
      <c r="Y207" s="41">
        <f t="shared" ref="Y207:Y286" si="231">X207-W207</f>
        <v>-1605</v>
      </c>
      <c r="Z207" s="1">
        <f t="shared" si="209"/>
        <v>3500</v>
      </c>
      <c r="AA207" s="1">
        <v>3500</v>
      </c>
      <c r="AB207" s="1">
        <f t="shared" si="149"/>
        <v>0</v>
      </c>
      <c r="AC207" s="1">
        <f t="shared" si="210"/>
        <v>3500</v>
      </c>
      <c r="AD207" s="41">
        <v>3000</v>
      </c>
      <c r="AE207" s="1">
        <f t="shared" si="211"/>
        <v>-500</v>
      </c>
      <c r="AF207" s="1">
        <f t="shared" si="166"/>
        <v>3000</v>
      </c>
    </row>
    <row r="208" spans="1:32" outlineLevel="2">
      <c r="A208" s="13">
        <v>17000</v>
      </c>
      <c r="B208" s="11">
        <v>22104</v>
      </c>
      <c r="C208" s="11" t="s">
        <v>377</v>
      </c>
      <c r="D208" s="7">
        <v>3000</v>
      </c>
      <c r="E208" s="7"/>
      <c r="F208" s="7">
        <f t="shared" si="192"/>
        <v>3000</v>
      </c>
      <c r="G208" s="7"/>
      <c r="H208" s="7">
        <f t="shared" si="200"/>
        <v>3000</v>
      </c>
      <c r="I208" s="1"/>
      <c r="J208" s="1">
        <f t="shared" si="195"/>
        <v>3000</v>
      </c>
      <c r="K208" s="1"/>
      <c r="L208" s="1">
        <f t="shared" si="201"/>
        <v>3000</v>
      </c>
      <c r="M208" s="7">
        <v>-3000</v>
      </c>
      <c r="N208" s="1">
        <f t="shared" si="202"/>
        <v>0</v>
      </c>
      <c r="O208" s="1"/>
      <c r="Q208" s="1">
        <f t="shared" si="204"/>
        <v>0</v>
      </c>
      <c r="T208" s="1">
        <f t="shared" si="230"/>
        <v>0</v>
      </c>
      <c r="U208" s="1">
        <f t="shared" si="230"/>
        <v>0</v>
      </c>
      <c r="V208" s="1">
        <f t="shared" si="206"/>
        <v>0</v>
      </c>
      <c r="W208" s="1">
        <f t="shared" si="207"/>
        <v>0</v>
      </c>
      <c r="X208" s="1">
        <v>0</v>
      </c>
      <c r="Y208" s="41">
        <f t="shared" si="231"/>
        <v>0</v>
      </c>
      <c r="Z208" s="1">
        <f t="shared" si="209"/>
        <v>0</v>
      </c>
      <c r="AA208" s="1">
        <v>0</v>
      </c>
      <c r="AB208" s="1">
        <f t="shared" si="149"/>
        <v>0</v>
      </c>
      <c r="AC208" s="1">
        <f t="shared" si="210"/>
        <v>0</v>
      </c>
      <c r="AD208" s="41">
        <v>1000</v>
      </c>
      <c r="AE208" s="1">
        <f t="shared" si="211"/>
        <v>1000</v>
      </c>
      <c r="AF208" s="1">
        <f t="shared" si="166"/>
        <v>1000</v>
      </c>
    </row>
    <row r="209" spans="1:32" outlineLevel="2">
      <c r="A209" s="13">
        <v>17000</v>
      </c>
      <c r="B209" s="11">
        <v>22199</v>
      </c>
      <c r="C209" s="11" t="s">
        <v>232</v>
      </c>
      <c r="D209" s="7">
        <v>9616.19</v>
      </c>
      <c r="E209" s="7"/>
      <c r="F209" s="7">
        <f t="shared" si="192"/>
        <v>9616.19</v>
      </c>
      <c r="G209" s="7">
        <v>-3616.19</v>
      </c>
      <c r="H209" s="7">
        <f t="shared" si="200"/>
        <v>6000</v>
      </c>
      <c r="I209" s="1"/>
      <c r="J209" s="1">
        <f t="shared" si="195"/>
        <v>6000</v>
      </c>
      <c r="K209" s="1"/>
      <c r="L209" s="1">
        <f t="shared" si="201"/>
        <v>6000</v>
      </c>
      <c r="N209" s="1">
        <f t="shared" si="202"/>
        <v>6000</v>
      </c>
      <c r="O209" s="1"/>
      <c r="Q209" s="1">
        <f t="shared" si="204"/>
        <v>6000</v>
      </c>
      <c r="T209" s="1">
        <f t="shared" si="230"/>
        <v>6000</v>
      </c>
      <c r="U209" s="1">
        <f t="shared" si="230"/>
        <v>6000</v>
      </c>
      <c r="V209" s="1">
        <f t="shared" si="206"/>
        <v>0</v>
      </c>
      <c r="W209" s="1">
        <f t="shared" si="207"/>
        <v>6000</v>
      </c>
      <c r="X209" s="1">
        <v>7000</v>
      </c>
      <c r="Y209" s="41">
        <f t="shared" si="231"/>
        <v>1000</v>
      </c>
      <c r="Z209" s="1">
        <f t="shared" si="209"/>
        <v>7000</v>
      </c>
      <c r="AA209" s="1">
        <v>16000</v>
      </c>
      <c r="AB209" s="1">
        <f t="shared" si="149"/>
        <v>9000</v>
      </c>
      <c r="AC209" s="1">
        <f t="shared" si="210"/>
        <v>16000</v>
      </c>
      <c r="AD209" s="41">
        <v>20000</v>
      </c>
      <c r="AE209" s="1">
        <f t="shared" si="211"/>
        <v>4000</v>
      </c>
      <c r="AF209" s="1">
        <f t="shared" si="166"/>
        <v>20000</v>
      </c>
    </row>
    <row r="210" spans="1:32" outlineLevel="2">
      <c r="A210" s="13">
        <v>17000</v>
      </c>
      <c r="B210" s="11">
        <v>22602</v>
      </c>
      <c r="C210" s="11" t="s">
        <v>282</v>
      </c>
      <c r="D210" s="7">
        <v>8030.36</v>
      </c>
      <c r="E210" s="7"/>
      <c r="F210" s="7">
        <f t="shared" si="192"/>
        <v>8030.36</v>
      </c>
      <c r="G210" s="7"/>
      <c r="H210" s="7">
        <f t="shared" si="200"/>
        <v>8030.36</v>
      </c>
      <c r="I210" s="1"/>
      <c r="J210" s="1">
        <f t="shared" si="195"/>
        <v>8030.36</v>
      </c>
      <c r="K210" s="1"/>
      <c r="L210" s="1">
        <f t="shared" si="201"/>
        <v>8030.36</v>
      </c>
      <c r="M210" s="7">
        <f>7500-L210</f>
        <v>-530.35999999999967</v>
      </c>
      <c r="N210" s="1">
        <f t="shared" si="202"/>
        <v>7500</v>
      </c>
      <c r="O210" s="1"/>
      <c r="Q210" s="1">
        <f t="shared" si="204"/>
        <v>7500</v>
      </c>
      <c r="T210" s="1">
        <f t="shared" si="230"/>
        <v>7500</v>
      </c>
      <c r="U210" s="1">
        <f t="shared" si="230"/>
        <v>7500</v>
      </c>
      <c r="V210" s="1">
        <f t="shared" si="206"/>
        <v>0</v>
      </c>
      <c r="W210" s="1">
        <f t="shared" si="207"/>
        <v>7500</v>
      </c>
      <c r="X210" s="1">
        <v>7500</v>
      </c>
      <c r="Y210" s="41">
        <f t="shared" si="231"/>
        <v>0</v>
      </c>
      <c r="Z210" s="1">
        <f t="shared" si="209"/>
        <v>7500</v>
      </c>
      <c r="AA210" s="1">
        <v>1000</v>
      </c>
      <c r="AB210" s="1">
        <f t="shared" ref="AB210:AB255" si="232">AA210-Z210</f>
        <v>-6500</v>
      </c>
      <c r="AC210" s="1">
        <f t="shared" si="210"/>
        <v>1000</v>
      </c>
      <c r="AD210" s="41">
        <v>1500</v>
      </c>
      <c r="AE210" s="1">
        <f t="shared" si="211"/>
        <v>500</v>
      </c>
      <c r="AF210" s="1">
        <f t="shared" si="166"/>
        <v>1500</v>
      </c>
    </row>
    <row r="211" spans="1:32" outlineLevel="2">
      <c r="A211" s="13">
        <v>17000</v>
      </c>
      <c r="B211" s="11">
        <v>22606</v>
      </c>
      <c r="C211" s="42" t="s">
        <v>953</v>
      </c>
      <c r="D211" s="7">
        <v>12640.48</v>
      </c>
      <c r="E211" s="7"/>
      <c r="F211" s="7">
        <f t="shared" si="192"/>
        <v>12640.48</v>
      </c>
      <c r="G211" s="7">
        <v>-2640.48</v>
      </c>
      <c r="H211" s="7">
        <f t="shared" si="200"/>
        <v>10000</v>
      </c>
      <c r="I211" s="1"/>
      <c r="J211" s="1">
        <f t="shared" si="195"/>
        <v>10000</v>
      </c>
      <c r="K211" s="1"/>
      <c r="L211" s="1">
        <f t="shared" si="201"/>
        <v>10000</v>
      </c>
      <c r="N211" s="1">
        <f t="shared" si="202"/>
        <v>10000</v>
      </c>
      <c r="O211" s="1"/>
      <c r="P211" s="1">
        <v>15000</v>
      </c>
      <c r="Q211" s="1">
        <f t="shared" si="204"/>
        <v>25000</v>
      </c>
      <c r="T211" s="1">
        <f t="shared" si="230"/>
        <v>25000</v>
      </c>
      <c r="U211" s="1">
        <f t="shared" si="230"/>
        <v>25000</v>
      </c>
      <c r="V211" s="1">
        <f t="shared" si="206"/>
        <v>0</v>
      </c>
      <c r="W211" s="1">
        <f t="shared" si="207"/>
        <v>25000</v>
      </c>
      <c r="X211" s="1">
        <v>25000</v>
      </c>
      <c r="Y211" s="41">
        <f t="shared" si="231"/>
        <v>0</v>
      </c>
      <c r="Z211" s="1">
        <f t="shared" si="209"/>
        <v>25000</v>
      </c>
      <c r="AA211" s="1">
        <v>25000</v>
      </c>
      <c r="AB211" s="1">
        <f t="shared" si="232"/>
        <v>0</v>
      </c>
      <c r="AC211" s="1">
        <f t="shared" si="210"/>
        <v>25000</v>
      </c>
      <c r="AD211" s="41">
        <f>20000+20000</f>
        <v>40000</v>
      </c>
      <c r="AE211" s="1">
        <f t="shared" si="211"/>
        <v>15000</v>
      </c>
      <c r="AF211" s="1">
        <f t="shared" si="166"/>
        <v>40000</v>
      </c>
    </row>
    <row r="212" spans="1:32" outlineLevel="2">
      <c r="A212" s="42">
        <v>17000</v>
      </c>
      <c r="B212" s="11">
        <v>22501</v>
      </c>
      <c r="C212" s="11" t="s">
        <v>885</v>
      </c>
      <c r="D212" s="7"/>
      <c r="E212" s="7"/>
      <c r="F212" s="7"/>
      <c r="G212" s="7"/>
      <c r="H212" s="7"/>
      <c r="I212" s="1"/>
      <c r="J212" s="1"/>
      <c r="K212" s="1"/>
      <c r="L212" s="1"/>
      <c r="N212" s="1"/>
      <c r="O212" s="1"/>
      <c r="Q212" s="1">
        <v>0</v>
      </c>
      <c r="R212" s="1">
        <v>32346.57</v>
      </c>
      <c r="S212" s="1">
        <f>R212-Q212</f>
        <v>32346.57</v>
      </c>
      <c r="T212" s="1">
        <f t="shared" si="230"/>
        <v>32346.57</v>
      </c>
      <c r="U212" s="1">
        <v>129386.29</v>
      </c>
      <c r="V212" s="1">
        <f t="shared" si="206"/>
        <v>97039.72</v>
      </c>
      <c r="W212" s="1">
        <f t="shared" si="207"/>
        <v>129386.29000000001</v>
      </c>
      <c r="X212" s="1">
        <v>131272.94</v>
      </c>
      <c r="Y212" s="41">
        <f t="shared" si="231"/>
        <v>1886.6499999999942</v>
      </c>
      <c r="Z212" s="1">
        <f t="shared" si="209"/>
        <v>131272.94</v>
      </c>
      <c r="AA212" s="1">
        <f>45000+40888.05+26194.06</f>
        <v>112082.11</v>
      </c>
      <c r="AB212" s="1">
        <f t="shared" si="232"/>
        <v>-19190.830000000002</v>
      </c>
      <c r="AC212" s="1">
        <f t="shared" si="210"/>
        <v>112082.11</v>
      </c>
      <c r="AD212" s="41">
        <v>0</v>
      </c>
      <c r="AE212" s="1">
        <f t="shared" si="211"/>
        <v>-112082.11</v>
      </c>
      <c r="AF212" s="1">
        <f t="shared" si="166"/>
        <v>0</v>
      </c>
    </row>
    <row r="213" spans="1:32" outlineLevel="2">
      <c r="A213" s="13">
        <v>17000</v>
      </c>
      <c r="B213" s="11">
        <v>22699</v>
      </c>
      <c r="C213" s="11" t="s">
        <v>256</v>
      </c>
      <c r="D213" s="7">
        <v>3005.06</v>
      </c>
      <c r="E213" s="7"/>
      <c r="F213" s="7">
        <f t="shared" si="192"/>
        <v>3005.06</v>
      </c>
      <c r="G213" s="7"/>
      <c r="H213" s="7">
        <f t="shared" si="200"/>
        <v>3005.06</v>
      </c>
      <c r="I213" s="1"/>
      <c r="J213" s="1">
        <f t="shared" si="195"/>
        <v>3005.06</v>
      </c>
      <c r="K213" s="1"/>
      <c r="L213" s="1">
        <f t="shared" si="201"/>
        <v>3005.06</v>
      </c>
      <c r="N213" s="1">
        <f t="shared" si="202"/>
        <v>3005.06</v>
      </c>
      <c r="O213" s="1"/>
      <c r="P213" s="1">
        <v>10000</v>
      </c>
      <c r="Q213" s="1">
        <f t="shared" si="204"/>
        <v>13005.06</v>
      </c>
      <c r="T213" s="1">
        <f t="shared" si="230"/>
        <v>13005.06</v>
      </c>
      <c r="U213" s="1">
        <f t="shared" si="230"/>
        <v>13005.06</v>
      </c>
      <c r="V213" s="1">
        <f t="shared" si="206"/>
        <v>0</v>
      </c>
      <c r="W213" s="1">
        <f t="shared" si="207"/>
        <v>13005.06</v>
      </c>
      <c r="X213" s="1">
        <v>13000</v>
      </c>
      <c r="Y213" s="41">
        <f t="shared" si="231"/>
        <v>-5.0599999999994907</v>
      </c>
      <c r="Z213" s="1">
        <f t="shared" si="209"/>
        <v>13000</v>
      </c>
      <c r="AA213" s="1">
        <f>15000+10000</f>
        <v>25000</v>
      </c>
      <c r="AB213" s="1">
        <f t="shared" si="232"/>
        <v>12000</v>
      </c>
      <c r="AC213" s="1">
        <f t="shared" si="210"/>
        <v>25000</v>
      </c>
      <c r="AD213" s="41">
        <v>30000</v>
      </c>
      <c r="AE213" s="1">
        <f t="shared" si="211"/>
        <v>5000</v>
      </c>
      <c r="AF213" s="1">
        <f t="shared" si="166"/>
        <v>30000</v>
      </c>
    </row>
    <row r="214" spans="1:32" outlineLevel="2">
      <c r="A214" s="42">
        <v>17000</v>
      </c>
      <c r="B214" s="11">
        <v>22706</v>
      </c>
      <c r="C214" s="11" t="s">
        <v>935</v>
      </c>
      <c r="D214" s="7"/>
      <c r="E214" s="7"/>
      <c r="F214" s="7"/>
      <c r="G214" s="7"/>
      <c r="H214" s="7"/>
      <c r="I214" s="1"/>
      <c r="J214" s="1"/>
      <c r="K214" s="1"/>
      <c r="L214" s="1"/>
      <c r="N214" s="1"/>
      <c r="O214" s="1"/>
      <c r="Q214" s="1">
        <v>0</v>
      </c>
      <c r="S214" s="1">
        <v>10000</v>
      </c>
      <c r="T214" s="1">
        <f t="shared" si="230"/>
        <v>10000</v>
      </c>
      <c r="U214" s="1">
        <f t="shared" si="230"/>
        <v>10000</v>
      </c>
      <c r="V214" s="1">
        <f t="shared" si="206"/>
        <v>0</v>
      </c>
      <c r="W214" s="1">
        <f t="shared" si="207"/>
        <v>10000</v>
      </c>
      <c r="X214" s="1">
        <v>20000</v>
      </c>
      <c r="Y214" s="41">
        <f t="shared" si="231"/>
        <v>10000</v>
      </c>
      <c r="Z214" s="1">
        <f t="shared" si="209"/>
        <v>20000</v>
      </c>
      <c r="AA214" s="1">
        <v>10000</v>
      </c>
      <c r="AB214" s="1">
        <f t="shared" si="232"/>
        <v>-10000</v>
      </c>
      <c r="AC214" s="1">
        <f t="shared" si="210"/>
        <v>10000</v>
      </c>
      <c r="AD214" s="41">
        <f>29000</f>
        <v>29000</v>
      </c>
      <c r="AE214" s="1">
        <f t="shared" si="211"/>
        <v>19000</v>
      </c>
      <c r="AF214" s="1">
        <f t="shared" si="166"/>
        <v>29000</v>
      </c>
    </row>
    <row r="215" spans="1:32" outlineLevel="2">
      <c r="A215" s="42">
        <v>17000</v>
      </c>
      <c r="B215" s="11">
        <v>22799</v>
      </c>
      <c r="C215" s="39" t="s">
        <v>876</v>
      </c>
      <c r="D215" s="7"/>
      <c r="E215" s="7"/>
      <c r="F215" s="7"/>
      <c r="G215" s="7"/>
      <c r="H215" s="7"/>
      <c r="I215" s="1"/>
      <c r="J215" s="1"/>
      <c r="K215" s="1"/>
      <c r="L215" s="1"/>
      <c r="N215" s="1"/>
      <c r="O215" s="1"/>
      <c r="T215" s="1"/>
      <c r="V215" s="1"/>
      <c r="W215" s="1"/>
      <c r="Y215" s="41"/>
      <c r="Z215" s="1">
        <v>0</v>
      </c>
      <c r="AA215" s="1">
        <v>30000</v>
      </c>
      <c r="AB215" s="1">
        <f t="shared" ref="AB215" si="233">AA215-Z215</f>
        <v>30000</v>
      </c>
      <c r="AC215" s="1">
        <f t="shared" ref="AC215" si="234">Z215+AB215</f>
        <v>30000</v>
      </c>
      <c r="AD215" s="41">
        <v>35000</v>
      </c>
      <c r="AE215" s="1">
        <f t="shared" si="211"/>
        <v>5000</v>
      </c>
      <c r="AF215" s="1">
        <f t="shared" si="166"/>
        <v>35000</v>
      </c>
    </row>
    <row r="216" spans="1:32" outlineLevel="2">
      <c r="A216" s="13">
        <v>17000</v>
      </c>
      <c r="B216" s="11">
        <v>23020</v>
      </c>
      <c r="C216" s="11" t="s">
        <v>385</v>
      </c>
      <c r="D216" s="7">
        <v>1000</v>
      </c>
      <c r="E216" s="7"/>
      <c r="F216" s="7">
        <f t="shared" si="192"/>
        <v>1000</v>
      </c>
      <c r="G216" s="7"/>
      <c r="H216" s="7">
        <f t="shared" si="200"/>
        <v>1000</v>
      </c>
      <c r="I216" s="1"/>
      <c r="J216" s="1">
        <f t="shared" si="195"/>
        <v>1000</v>
      </c>
      <c r="K216" s="1"/>
      <c r="L216" s="1">
        <f t="shared" si="201"/>
        <v>1000</v>
      </c>
      <c r="N216" s="1">
        <f t="shared" si="202"/>
        <v>1000</v>
      </c>
      <c r="O216" s="1"/>
      <c r="Q216" s="1">
        <f t="shared" si="204"/>
        <v>1000</v>
      </c>
      <c r="T216" s="1">
        <f t="shared" si="230"/>
        <v>1000</v>
      </c>
      <c r="U216" s="1">
        <f t="shared" si="230"/>
        <v>1000</v>
      </c>
      <c r="V216" s="1">
        <f t="shared" si="206"/>
        <v>0</v>
      </c>
      <c r="W216" s="1">
        <f t="shared" si="207"/>
        <v>1000</v>
      </c>
      <c r="X216" s="1">
        <v>1000</v>
      </c>
      <c r="Y216" s="41">
        <f t="shared" si="231"/>
        <v>0</v>
      </c>
      <c r="Z216" s="1">
        <f t="shared" si="209"/>
        <v>1000</v>
      </c>
      <c r="AA216" s="1">
        <v>1000</v>
      </c>
      <c r="AB216" s="1">
        <f t="shared" si="232"/>
        <v>0</v>
      </c>
      <c r="AC216" s="1">
        <f t="shared" si="210"/>
        <v>1000</v>
      </c>
      <c r="AD216" s="41">
        <v>1500</v>
      </c>
      <c r="AE216" s="1">
        <f t="shared" si="211"/>
        <v>500</v>
      </c>
      <c r="AF216" s="1">
        <f t="shared" si="166"/>
        <v>1500</v>
      </c>
    </row>
    <row r="217" spans="1:32" outlineLevel="2">
      <c r="A217" s="13">
        <v>17000</v>
      </c>
      <c r="B217" s="11">
        <v>23120</v>
      </c>
      <c r="C217" s="11" t="s">
        <v>386</v>
      </c>
      <c r="D217" s="7">
        <v>500</v>
      </c>
      <c r="E217" s="7"/>
      <c r="F217" s="7">
        <f t="shared" si="192"/>
        <v>500</v>
      </c>
      <c r="G217" s="7"/>
      <c r="H217" s="7">
        <f t="shared" si="200"/>
        <v>500</v>
      </c>
      <c r="I217" s="1"/>
      <c r="J217" s="1">
        <f t="shared" si="195"/>
        <v>500</v>
      </c>
      <c r="K217" s="1"/>
      <c r="L217" s="1">
        <f t="shared" si="201"/>
        <v>500</v>
      </c>
      <c r="N217" s="1">
        <f t="shared" si="202"/>
        <v>500</v>
      </c>
      <c r="O217" s="1"/>
      <c r="Q217" s="1">
        <f t="shared" si="204"/>
        <v>500</v>
      </c>
      <c r="T217" s="1">
        <f t="shared" si="230"/>
        <v>500</v>
      </c>
      <c r="U217" s="1">
        <v>500</v>
      </c>
      <c r="V217" s="1">
        <f t="shared" si="206"/>
        <v>0</v>
      </c>
      <c r="W217" s="1">
        <f t="shared" si="207"/>
        <v>500</v>
      </c>
      <c r="X217" s="1">
        <v>500</v>
      </c>
      <c r="Y217" s="41">
        <f t="shared" si="231"/>
        <v>0</v>
      </c>
      <c r="Z217" s="1">
        <f t="shared" si="209"/>
        <v>500</v>
      </c>
      <c r="AA217" s="1">
        <v>500</v>
      </c>
      <c r="AB217" s="1">
        <f t="shared" si="232"/>
        <v>0</v>
      </c>
      <c r="AC217" s="1">
        <f t="shared" si="210"/>
        <v>500</v>
      </c>
      <c r="AD217" s="41">
        <v>700</v>
      </c>
      <c r="AE217" s="1">
        <f t="shared" si="211"/>
        <v>200</v>
      </c>
      <c r="AF217" s="1">
        <f t="shared" ref="AF217:AF221" si="235">AC217+AE217</f>
        <v>700</v>
      </c>
    </row>
    <row r="218" spans="1:32" outlineLevel="2">
      <c r="A218" s="42">
        <v>17000</v>
      </c>
      <c r="B218" s="11">
        <v>46600</v>
      </c>
      <c r="C218" s="11" t="s">
        <v>913</v>
      </c>
      <c r="D218" s="7"/>
      <c r="E218" s="7"/>
      <c r="F218" s="7"/>
      <c r="G218" s="7"/>
      <c r="H218" s="7"/>
      <c r="I218" s="1"/>
      <c r="J218" s="1"/>
      <c r="K218" s="1"/>
      <c r="L218" s="1"/>
      <c r="N218" s="1"/>
      <c r="O218" s="1"/>
      <c r="T218" s="1"/>
      <c r="V218" s="1"/>
      <c r="W218" s="1"/>
      <c r="Y218" s="41"/>
      <c r="Z218" s="1"/>
      <c r="AB218" s="1"/>
      <c r="AC218" s="1">
        <v>0</v>
      </c>
      <c r="AD218" s="41">
        <f>0.35*(5252.22+297.73+26261.11+6000)</f>
        <v>13233.870999999999</v>
      </c>
      <c r="AE218" s="1">
        <f t="shared" ref="AE218" si="236">AD218-AC218</f>
        <v>13233.870999999999</v>
      </c>
      <c r="AF218" s="1">
        <f t="shared" ref="AF218" si="237">AC218+AE218</f>
        <v>13233.870999999999</v>
      </c>
    </row>
    <row r="219" spans="1:32" outlineLevel="2">
      <c r="A219" s="42">
        <v>17000</v>
      </c>
      <c r="B219" s="11">
        <v>48900</v>
      </c>
      <c r="C219" s="39" t="s">
        <v>807</v>
      </c>
      <c r="D219" s="7"/>
      <c r="E219" s="7"/>
      <c r="F219" s="7"/>
      <c r="G219" s="7"/>
      <c r="H219" s="7"/>
      <c r="I219" s="1"/>
      <c r="J219" s="1"/>
      <c r="K219" s="1"/>
      <c r="L219" s="1"/>
      <c r="N219" s="1"/>
      <c r="O219" s="1"/>
      <c r="T219" s="1"/>
      <c r="V219" s="1"/>
      <c r="W219" s="1">
        <v>0</v>
      </c>
      <c r="X219" s="1">
        <v>10100</v>
      </c>
      <c r="Y219" s="41">
        <f t="shared" ref="Y219" si="238">X219-W219</f>
        <v>10100</v>
      </c>
      <c r="Z219" s="1">
        <f t="shared" ref="Z219" si="239">W219+Y219</f>
        <v>10100</v>
      </c>
      <c r="AA219" s="1">
        <v>10100</v>
      </c>
      <c r="AB219" s="1">
        <f t="shared" si="232"/>
        <v>0</v>
      </c>
      <c r="AC219" s="1">
        <f t="shared" si="210"/>
        <v>10100</v>
      </c>
      <c r="AD219" s="41">
        <v>0</v>
      </c>
      <c r="AE219" s="1">
        <f t="shared" si="211"/>
        <v>-10100</v>
      </c>
      <c r="AF219" s="1">
        <f t="shared" si="235"/>
        <v>0</v>
      </c>
    </row>
    <row r="220" spans="1:32" outlineLevel="2">
      <c r="A220" s="42">
        <v>17000</v>
      </c>
      <c r="B220" s="11">
        <v>48901</v>
      </c>
      <c r="C220" s="39" t="s">
        <v>893</v>
      </c>
      <c r="D220" s="7"/>
      <c r="E220" s="7"/>
      <c r="F220" s="7"/>
      <c r="G220" s="7"/>
      <c r="H220" s="7"/>
      <c r="I220" s="1"/>
      <c r="J220" s="1"/>
      <c r="K220" s="1"/>
      <c r="L220" s="1"/>
      <c r="N220" s="1"/>
      <c r="O220" s="1"/>
      <c r="T220" s="1"/>
      <c r="V220" s="1"/>
      <c r="W220" s="1"/>
      <c r="Y220" s="41"/>
      <c r="Z220" s="1">
        <v>0</v>
      </c>
      <c r="AA220" s="1">
        <v>3000</v>
      </c>
      <c r="AB220" s="1">
        <f t="shared" ref="AB220" si="240">AA220-Z220</f>
        <v>3000</v>
      </c>
      <c r="AC220" s="1">
        <f t="shared" ref="AC220" si="241">Z220+AB220</f>
        <v>3000</v>
      </c>
      <c r="AD220" s="41">
        <v>4000</v>
      </c>
      <c r="AE220" s="1">
        <f t="shared" si="211"/>
        <v>1000</v>
      </c>
      <c r="AF220" s="1">
        <f t="shared" si="235"/>
        <v>4000</v>
      </c>
    </row>
    <row r="221" spans="1:32" outlineLevel="2">
      <c r="A221" s="42">
        <v>17000</v>
      </c>
      <c r="B221" s="11">
        <v>60900</v>
      </c>
      <c r="C221" s="39" t="s">
        <v>890</v>
      </c>
      <c r="D221" s="7"/>
      <c r="E221" s="7"/>
      <c r="F221" s="7"/>
      <c r="G221" s="7"/>
      <c r="H221" s="7"/>
      <c r="I221" s="1"/>
      <c r="J221" s="1"/>
      <c r="K221" s="1"/>
      <c r="L221" s="1"/>
      <c r="N221" s="1"/>
      <c r="O221" s="1"/>
      <c r="T221" s="1"/>
      <c r="V221" s="1"/>
      <c r="W221" s="1"/>
      <c r="Y221" s="41"/>
      <c r="Z221" s="1">
        <v>0</v>
      </c>
      <c r="AA221" s="1">
        <v>238000.37</v>
      </c>
      <c r="AB221" s="1">
        <f t="shared" ref="AB221" si="242">AA221-Z221</f>
        <v>238000.37</v>
      </c>
      <c r="AC221" s="1">
        <f t="shared" ref="AC221" si="243">Z221+AB221</f>
        <v>238000.37</v>
      </c>
      <c r="AD221" s="41">
        <f>1000+300+1500+900+5082+1476+600+22000</f>
        <v>32858</v>
      </c>
      <c r="AE221" s="1">
        <f t="shared" si="211"/>
        <v>-205142.37</v>
      </c>
      <c r="AF221" s="1">
        <f t="shared" si="235"/>
        <v>32858</v>
      </c>
    </row>
    <row r="222" spans="1:32" outlineLevel="2">
      <c r="A222" s="42">
        <v>17000</v>
      </c>
      <c r="B222" s="11">
        <v>62500</v>
      </c>
      <c r="C222" s="39" t="s">
        <v>916</v>
      </c>
      <c r="D222" s="7"/>
      <c r="E222" s="7"/>
      <c r="F222" s="7"/>
      <c r="G222" s="7"/>
      <c r="H222" s="7"/>
      <c r="I222" s="1"/>
      <c r="J222" s="1"/>
      <c r="K222" s="1"/>
      <c r="L222" s="1"/>
      <c r="N222" s="1"/>
      <c r="O222" s="1"/>
      <c r="T222" s="1"/>
      <c r="V222" s="1"/>
      <c r="W222" s="1"/>
      <c r="Y222" s="41"/>
      <c r="Z222" s="1"/>
      <c r="AB222" s="1"/>
      <c r="AC222" s="1">
        <v>0</v>
      </c>
      <c r="AD222" s="41">
        <v>650</v>
      </c>
      <c r="AE222" s="1">
        <f t="shared" ref="AE222" si="244">AD222-AC222</f>
        <v>650</v>
      </c>
      <c r="AF222" s="1">
        <f t="shared" ref="AF222" si="245">AC222+AE222</f>
        <v>650</v>
      </c>
    </row>
    <row r="223" spans="1:32" outlineLevel="2">
      <c r="A223" s="42">
        <v>17000</v>
      </c>
      <c r="B223" s="11">
        <v>76100</v>
      </c>
      <c r="C223" s="39" t="s">
        <v>912</v>
      </c>
      <c r="D223" s="7"/>
      <c r="E223" s="7"/>
      <c r="F223" s="7"/>
      <c r="G223" s="7"/>
      <c r="H223" s="7"/>
      <c r="I223" s="1"/>
      <c r="J223" s="1"/>
      <c r="K223" s="1"/>
      <c r="L223" s="1"/>
      <c r="N223" s="1"/>
      <c r="O223" s="1"/>
      <c r="T223" s="1"/>
      <c r="V223" s="1"/>
      <c r="W223" s="1"/>
      <c r="Y223" s="41"/>
      <c r="Z223" s="1"/>
      <c r="AB223" s="1"/>
      <c r="AC223" s="1">
        <v>0</v>
      </c>
      <c r="AD223" s="41">
        <v>27036.57</v>
      </c>
      <c r="AE223" s="1">
        <f t="shared" ref="AE223" si="246">AD223-AC223</f>
        <v>27036.57</v>
      </c>
      <c r="AF223" s="1">
        <f t="shared" ref="AF223" si="247">AC223+AE223</f>
        <v>27036.57</v>
      </c>
    </row>
    <row r="224" spans="1:32" s="2" customFormat="1" outlineLevel="1">
      <c r="A224" s="9" t="s">
        <v>9</v>
      </c>
      <c r="B224" s="9"/>
      <c r="C224" s="9" t="s">
        <v>36</v>
      </c>
      <c r="D224" s="8">
        <f t="shared" ref="D224:Q224" si="248">SUBTOTAL(9,D183:D217)</f>
        <v>143976</v>
      </c>
      <c r="E224" s="8">
        <f t="shared" si="248"/>
        <v>81806.26999999999</v>
      </c>
      <c r="F224" s="8">
        <f t="shared" si="248"/>
        <v>62169.729999999996</v>
      </c>
      <c r="G224" s="8">
        <f t="shared" si="248"/>
        <v>-20475.010000000002</v>
      </c>
      <c r="H224" s="8">
        <f t="shared" si="248"/>
        <v>123500.98999999999</v>
      </c>
      <c r="I224" s="8">
        <f t="shared" si="248"/>
        <v>82200.579999999987</v>
      </c>
      <c r="J224" s="8">
        <f t="shared" si="248"/>
        <v>41300.409999999996</v>
      </c>
      <c r="K224" s="8">
        <f t="shared" si="248"/>
        <v>394.31000000000222</v>
      </c>
      <c r="L224" s="8">
        <f t="shared" si="248"/>
        <v>123895.30000000002</v>
      </c>
      <c r="M224" s="8">
        <f t="shared" si="248"/>
        <v>-2933.26</v>
      </c>
      <c r="N224" s="8">
        <f t="shared" si="248"/>
        <v>120962.04000000001</v>
      </c>
      <c r="O224" s="8">
        <f t="shared" si="248"/>
        <v>82797.679999999993</v>
      </c>
      <c r="P224" s="8">
        <f t="shared" si="248"/>
        <v>25000</v>
      </c>
      <c r="Q224" s="8">
        <f t="shared" si="248"/>
        <v>145962.04</v>
      </c>
      <c r="R224" s="3"/>
      <c r="S224" s="8">
        <f>SUBTOTAL(9,S183:S217)</f>
        <v>108886.75</v>
      </c>
      <c r="T224" s="8">
        <f>SUBTOTAL(9,T183:T217)</f>
        <v>254848.79</v>
      </c>
      <c r="U224" s="8">
        <f>SUBTOTAL(9,U183:U217)</f>
        <v>404514.31</v>
      </c>
      <c r="V224" s="8">
        <f>SUBTOTAL(9,V183:V217)</f>
        <v>149665.52000000002</v>
      </c>
      <c r="W224" s="8">
        <f>SUBTOTAL(9,W183:W219)</f>
        <v>404514.31</v>
      </c>
      <c r="X224" s="8">
        <f t="shared" ref="X224:Y224" si="249">SUBTOTAL(9,X183:X219)</f>
        <v>543241.81000000006</v>
      </c>
      <c r="Y224" s="8">
        <f t="shared" si="249"/>
        <v>138727.5</v>
      </c>
      <c r="Z224" s="8">
        <f>SUBTOTAL(9,Z183:Z221)</f>
        <v>543241.81000000006</v>
      </c>
      <c r="AA224" s="8">
        <f>SUBTOTAL(9,AA183:AA221)</f>
        <v>963055.66999999993</v>
      </c>
      <c r="AB224" s="8">
        <f>SUBTOTAL(9,AB183:AB221)</f>
        <v>419813.86</v>
      </c>
      <c r="AC224" s="8">
        <f>SUBTOTAL(9,AC183:AC223)</f>
        <v>963055.66999999993</v>
      </c>
      <c r="AD224" s="8">
        <f t="shared" ref="AD224:AF224" si="250">SUBTOTAL(9,AD183:AD223)</f>
        <v>1043432.1109999999</v>
      </c>
      <c r="AE224" s="8">
        <f t="shared" si="250"/>
        <v>80376.440999999992</v>
      </c>
      <c r="AF224" s="8">
        <f t="shared" si="250"/>
        <v>1043432.1109999999</v>
      </c>
    </row>
    <row r="225" spans="1:32" s="2" customFormat="1" outlineLevel="1">
      <c r="A225" s="13">
        <v>17100</v>
      </c>
      <c r="B225" s="11">
        <v>12001</v>
      </c>
      <c r="C225" s="11" t="s">
        <v>150</v>
      </c>
      <c r="D225" s="7">
        <v>0</v>
      </c>
      <c r="E225" s="7">
        <v>16455.599999999999</v>
      </c>
      <c r="F225" s="7">
        <f t="shared" ref="F225:F230" si="251">D225-E225</f>
        <v>-16455.599999999999</v>
      </c>
      <c r="G225" s="7">
        <v>16455.599999999999</v>
      </c>
      <c r="H225" s="7">
        <f t="shared" ref="H225:H251" si="252">D225+G225</f>
        <v>16455.599999999999</v>
      </c>
      <c r="I225" s="16">
        <v>12906.52</v>
      </c>
      <c r="J225" s="16">
        <f t="shared" si="195"/>
        <v>3549.0799999999981</v>
      </c>
      <c r="K225" s="16">
        <v>-3549.08</v>
      </c>
      <c r="L225" s="16">
        <f t="shared" ref="L225:L251" si="253">H225+K225</f>
        <v>12906.519999999999</v>
      </c>
      <c r="M225" s="10">
        <v>0</v>
      </c>
      <c r="N225" s="1">
        <f t="shared" ref="N225:N292" si="254">L225+M225</f>
        <v>12906.519999999999</v>
      </c>
      <c r="O225" s="1">
        <v>12906.52</v>
      </c>
      <c r="P225" s="1">
        <f t="shared" ref="P225:P236" si="255">O225-N225</f>
        <v>0</v>
      </c>
      <c r="Q225" s="1">
        <f t="shared" ref="Q225:Q251" si="256">N225+P225</f>
        <v>12906.519999999999</v>
      </c>
      <c r="R225" s="41">
        <v>12906.52</v>
      </c>
      <c r="S225" s="1">
        <f t="shared" ref="S225:S236" si="257">R225-Q225</f>
        <v>0</v>
      </c>
      <c r="T225" s="1">
        <f t="shared" ref="T225:U251" si="258">Q225+S225</f>
        <v>12906.519999999999</v>
      </c>
      <c r="U225" s="41">
        <v>12906.52</v>
      </c>
      <c r="V225" s="1">
        <f t="shared" ref="V225:V255" si="259">U225-T225</f>
        <v>0</v>
      </c>
      <c r="W225" s="1">
        <f t="shared" ref="W225:W255" si="260">T225+V225</f>
        <v>12906.519999999999</v>
      </c>
      <c r="X225" s="41">
        <v>14032.83</v>
      </c>
      <c r="Y225" s="41">
        <f t="shared" si="231"/>
        <v>1126.3100000000013</v>
      </c>
      <c r="Z225" s="1">
        <f t="shared" ref="Z225:Z252" si="261">W225+Y225</f>
        <v>14032.83</v>
      </c>
      <c r="AA225" s="41">
        <v>13165.95</v>
      </c>
      <c r="AB225" s="1">
        <f t="shared" si="232"/>
        <v>-866.8799999999992</v>
      </c>
      <c r="AC225" s="1">
        <f t="shared" ref="AC225:AC252" si="262">Z225+AB225</f>
        <v>13165.95</v>
      </c>
      <c r="AD225" s="41">
        <v>13363.5</v>
      </c>
      <c r="AE225" s="1">
        <f t="shared" ref="AE225:AE253" si="263">AD225-AC225</f>
        <v>197.54999999999927</v>
      </c>
      <c r="AF225" s="1">
        <f t="shared" ref="AF225:AF253" si="264">AC225+AE225</f>
        <v>13363.5</v>
      </c>
    </row>
    <row r="226" spans="1:32" s="2" customFormat="1" outlineLevel="1">
      <c r="A226" s="13">
        <v>17100</v>
      </c>
      <c r="B226" s="11">
        <v>12004</v>
      </c>
      <c r="C226" s="11" t="s">
        <v>151</v>
      </c>
      <c r="D226" s="7">
        <v>0</v>
      </c>
      <c r="E226" s="7">
        <v>40987.870000000003</v>
      </c>
      <c r="F226" s="7">
        <f t="shared" si="251"/>
        <v>-40987.870000000003</v>
      </c>
      <c r="G226" s="7">
        <v>40987.870000000003</v>
      </c>
      <c r="H226" s="7">
        <f t="shared" si="252"/>
        <v>40987.870000000003</v>
      </c>
      <c r="I226" s="16">
        <v>33514.32</v>
      </c>
      <c r="J226" s="16">
        <f t="shared" si="195"/>
        <v>7473.5500000000029</v>
      </c>
      <c r="K226" s="16">
        <v>-7473.55</v>
      </c>
      <c r="L226" s="16">
        <f t="shared" si="253"/>
        <v>33514.32</v>
      </c>
      <c r="M226" s="10">
        <f>34963.56-L226</f>
        <v>1449.239999999998</v>
      </c>
      <c r="N226" s="1">
        <f t="shared" si="254"/>
        <v>34963.56</v>
      </c>
      <c r="O226" s="1">
        <v>34963.56</v>
      </c>
      <c r="P226" s="1">
        <f t="shared" si="255"/>
        <v>0</v>
      </c>
      <c r="Q226" s="1">
        <f t="shared" si="256"/>
        <v>34963.56</v>
      </c>
      <c r="R226" s="41">
        <v>41892.9</v>
      </c>
      <c r="S226" s="1">
        <f t="shared" si="257"/>
        <v>6929.3400000000038</v>
      </c>
      <c r="T226" s="1">
        <f t="shared" si="258"/>
        <v>41892.9</v>
      </c>
      <c r="U226" s="41">
        <v>41892.9</v>
      </c>
      <c r="V226" s="1">
        <f t="shared" si="259"/>
        <v>0</v>
      </c>
      <c r="W226" s="1">
        <f t="shared" si="260"/>
        <v>41892.9</v>
      </c>
      <c r="X226" s="41">
        <v>53781.49</v>
      </c>
      <c r="Y226" s="41">
        <f t="shared" si="231"/>
        <v>11888.589999999997</v>
      </c>
      <c r="Z226" s="1">
        <f t="shared" si="261"/>
        <v>53781.49</v>
      </c>
      <c r="AA226" s="41">
        <v>59829.38</v>
      </c>
      <c r="AB226" s="1">
        <f t="shared" si="232"/>
        <v>6047.8899999999994</v>
      </c>
      <c r="AC226" s="1">
        <f t="shared" si="262"/>
        <v>59829.38</v>
      </c>
      <c r="AD226" s="41">
        <v>95428.53</v>
      </c>
      <c r="AE226" s="1">
        <f t="shared" si="263"/>
        <v>35599.15</v>
      </c>
      <c r="AF226" s="1">
        <f t="shared" si="264"/>
        <v>95428.53</v>
      </c>
    </row>
    <row r="227" spans="1:32" s="2" customFormat="1" outlineLevel="1">
      <c r="A227" s="13">
        <v>17100</v>
      </c>
      <c r="B227" s="11">
        <v>12005</v>
      </c>
      <c r="C227" s="11" t="s">
        <v>152</v>
      </c>
      <c r="D227" s="7">
        <v>0</v>
      </c>
      <c r="E227" s="7">
        <v>9337.66</v>
      </c>
      <c r="F227" s="7">
        <f t="shared" si="251"/>
        <v>-9337.66</v>
      </c>
      <c r="G227" s="7">
        <v>9337.66</v>
      </c>
      <c r="H227" s="7">
        <f t="shared" si="252"/>
        <v>9337.66</v>
      </c>
      <c r="I227" s="16">
        <v>16757.16</v>
      </c>
      <c r="J227" s="16">
        <f t="shared" si="195"/>
        <v>-7419.5</v>
      </c>
      <c r="K227" s="16">
        <v>7419.5</v>
      </c>
      <c r="L227" s="16">
        <f t="shared" si="253"/>
        <v>16757.16</v>
      </c>
      <c r="M227" s="10">
        <f>15357.16-L227</f>
        <v>-1400</v>
      </c>
      <c r="N227" s="1">
        <f t="shared" si="254"/>
        <v>15357.16</v>
      </c>
      <c r="O227" s="1">
        <v>15357.16</v>
      </c>
      <c r="P227" s="1">
        <f t="shared" si="255"/>
        <v>0</v>
      </c>
      <c r="Q227" s="1">
        <f t="shared" si="256"/>
        <v>15357.16</v>
      </c>
      <c r="R227" s="41">
        <v>69107.22</v>
      </c>
      <c r="S227" s="1">
        <f t="shared" si="257"/>
        <v>53750.06</v>
      </c>
      <c r="T227" s="1">
        <f t="shared" si="258"/>
        <v>69107.22</v>
      </c>
      <c r="U227" s="41">
        <v>76785.8</v>
      </c>
      <c r="V227" s="1">
        <f t="shared" si="259"/>
        <v>7678.5800000000017</v>
      </c>
      <c r="W227" s="1">
        <f t="shared" si="260"/>
        <v>76785.8</v>
      </c>
      <c r="X227" s="41">
        <v>78959.600000000006</v>
      </c>
      <c r="Y227" s="41">
        <f t="shared" si="231"/>
        <v>2173.8000000000029</v>
      </c>
      <c r="Z227" s="1">
        <f t="shared" si="261"/>
        <v>78959.600000000006</v>
      </c>
      <c r="AA227" s="41">
        <v>78329.84</v>
      </c>
      <c r="AB227" s="1">
        <f t="shared" si="232"/>
        <v>-629.76000000000931</v>
      </c>
      <c r="AC227" s="1">
        <f t="shared" si="262"/>
        <v>78329.84</v>
      </c>
      <c r="AD227" s="41">
        <v>79504.899999999994</v>
      </c>
      <c r="AE227" s="1">
        <f t="shared" si="263"/>
        <v>1175.0599999999977</v>
      </c>
      <c r="AF227" s="1">
        <f t="shared" si="264"/>
        <v>79504.899999999994</v>
      </c>
    </row>
    <row r="228" spans="1:32" outlineLevel="2">
      <c r="A228" s="13">
        <v>17100</v>
      </c>
      <c r="B228" s="11">
        <v>12006</v>
      </c>
      <c r="C228" s="11" t="s">
        <v>81</v>
      </c>
      <c r="D228" s="7">
        <v>0</v>
      </c>
      <c r="E228" s="7">
        <v>11694.66</v>
      </c>
      <c r="F228" s="7">
        <f t="shared" si="251"/>
        <v>-11694.66</v>
      </c>
      <c r="G228" s="7">
        <v>11694.66</v>
      </c>
      <c r="H228" s="7">
        <f t="shared" si="252"/>
        <v>11694.66</v>
      </c>
      <c r="I228" s="16">
        <v>10804.64</v>
      </c>
      <c r="J228" s="16">
        <f t="shared" si="195"/>
        <v>890.02000000000044</v>
      </c>
      <c r="K228" s="16">
        <v>-890.02</v>
      </c>
      <c r="L228" s="16">
        <f t="shared" si="253"/>
        <v>10804.64</v>
      </c>
      <c r="M228" s="7">
        <f>11594.76-L228</f>
        <v>790.1200000000008</v>
      </c>
      <c r="N228" s="1">
        <f t="shared" si="254"/>
        <v>11594.76</v>
      </c>
      <c r="O228" s="1">
        <v>12567.76</v>
      </c>
      <c r="P228" s="1">
        <f t="shared" si="255"/>
        <v>973</v>
      </c>
      <c r="Q228" s="1">
        <f t="shared" si="256"/>
        <v>12567.76</v>
      </c>
      <c r="R228" s="41">
        <v>15876.04</v>
      </c>
      <c r="S228" s="1">
        <f t="shared" si="257"/>
        <v>3308.2800000000007</v>
      </c>
      <c r="T228" s="1">
        <f t="shared" si="258"/>
        <v>15876.04</v>
      </c>
      <c r="U228" s="1">
        <v>18488.22</v>
      </c>
      <c r="V228" s="1">
        <f t="shared" si="259"/>
        <v>2612.1800000000003</v>
      </c>
      <c r="W228" s="1">
        <f t="shared" si="260"/>
        <v>18488.22</v>
      </c>
      <c r="X228" s="1">
        <v>20649.02</v>
      </c>
      <c r="Y228" s="41">
        <f t="shared" si="231"/>
        <v>2160.7999999999993</v>
      </c>
      <c r="Z228" s="1">
        <f t="shared" si="261"/>
        <v>20649.02</v>
      </c>
      <c r="AA228" s="41">
        <v>21813.65</v>
      </c>
      <c r="AB228" s="1">
        <f t="shared" si="232"/>
        <v>1164.630000000001</v>
      </c>
      <c r="AC228" s="1">
        <f t="shared" si="262"/>
        <v>21813.65</v>
      </c>
      <c r="AD228" s="41">
        <v>23557.79</v>
      </c>
      <c r="AE228" s="1">
        <f t="shared" si="263"/>
        <v>1744.1399999999994</v>
      </c>
      <c r="AF228" s="1">
        <f t="shared" si="264"/>
        <v>23557.79</v>
      </c>
    </row>
    <row r="229" spans="1:32" outlineLevel="2">
      <c r="A229" s="13">
        <v>17100</v>
      </c>
      <c r="B229" s="11">
        <v>12100</v>
      </c>
      <c r="C229" s="11" t="s">
        <v>153</v>
      </c>
      <c r="D229" s="7">
        <v>68672.160000000003</v>
      </c>
      <c r="E229" s="7">
        <v>26551.81</v>
      </c>
      <c r="F229" s="7">
        <f t="shared" si="251"/>
        <v>42120.350000000006</v>
      </c>
      <c r="G229" s="7">
        <v>-42120.35</v>
      </c>
      <c r="H229" s="7">
        <f t="shared" si="252"/>
        <v>26551.810000000005</v>
      </c>
      <c r="I229" s="16">
        <v>33385.24</v>
      </c>
      <c r="J229" s="16">
        <f t="shared" si="195"/>
        <v>-6833.429999999993</v>
      </c>
      <c r="K229" s="16">
        <v>6833.43</v>
      </c>
      <c r="L229" s="16">
        <f t="shared" si="253"/>
        <v>33385.240000000005</v>
      </c>
      <c r="M229" s="7">
        <f>38526.6-L229</f>
        <v>5141.3599999999933</v>
      </c>
      <c r="N229" s="1">
        <f t="shared" si="254"/>
        <v>38526.6</v>
      </c>
      <c r="O229" s="1">
        <v>38526.6</v>
      </c>
      <c r="P229" s="1">
        <f t="shared" si="255"/>
        <v>0</v>
      </c>
      <c r="Q229" s="1">
        <f t="shared" si="256"/>
        <v>38526.6</v>
      </c>
      <c r="R229" s="41">
        <f>70798.7-5141.36</f>
        <v>65657.34</v>
      </c>
      <c r="S229" s="1">
        <f t="shared" si="257"/>
        <v>27130.739999999998</v>
      </c>
      <c r="T229" s="1">
        <f t="shared" si="258"/>
        <v>65657.34</v>
      </c>
      <c r="U229" s="1">
        <v>69612.759999999995</v>
      </c>
      <c r="V229" s="1">
        <f t="shared" si="259"/>
        <v>3955.4199999999983</v>
      </c>
      <c r="W229" s="1">
        <f t="shared" si="260"/>
        <v>69612.759999999995</v>
      </c>
      <c r="X229" s="1">
        <v>74938.84</v>
      </c>
      <c r="Y229" s="41">
        <f t="shared" si="231"/>
        <v>5326.0800000000017</v>
      </c>
      <c r="Z229" s="1">
        <f t="shared" si="261"/>
        <v>74938.84</v>
      </c>
      <c r="AA229" s="41">
        <v>80365.81</v>
      </c>
      <c r="AB229" s="1">
        <f t="shared" si="232"/>
        <v>5426.9700000000012</v>
      </c>
      <c r="AC229" s="1">
        <f t="shared" si="262"/>
        <v>80365.81</v>
      </c>
      <c r="AD229" s="41">
        <v>100558.69</v>
      </c>
      <c r="AE229" s="1">
        <f t="shared" si="263"/>
        <v>20192.880000000005</v>
      </c>
      <c r="AF229" s="1">
        <f t="shared" si="264"/>
        <v>100558.69</v>
      </c>
    </row>
    <row r="230" spans="1:32" outlineLevel="2">
      <c r="A230" s="13">
        <v>17100</v>
      </c>
      <c r="B230" s="11">
        <v>12101</v>
      </c>
      <c r="C230" s="11" t="s">
        <v>154</v>
      </c>
      <c r="D230" s="7">
        <v>0</v>
      </c>
      <c r="E230" s="7">
        <v>31735.27</v>
      </c>
      <c r="F230" s="7">
        <f t="shared" si="251"/>
        <v>-31735.27</v>
      </c>
      <c r="G230" s="7">
        <v>31735.27</v>
      </c>
      <c r="H230" s="7">
        <f t="shared" si="252"/>
        <v>31735.27</v>
      </c>
      <c r="I230" s="16">
        <v>45992.800000000003</v>
      </c>
      <c r="J230" s="16">
        <f t="shared" si="195"/>
        <v>-14257.530000000002</v>
      </c>
      <c r="K230" s="16">
        <v>14257.53</v>
      </c>
      <c r="L230" s="16">
        <f t="shared" si="253"/>
        <v>45992.800000000003</v>
      </c>
      <c r="M230" s="7">
        <f>40852-L230</f>
        <v>-5140.8000000000029</v>
      </c>
      <c r="N230" s="1">
        <f t="shared" si="254"/>
        <v>40852</v>
      </c>
      <c r="O230" s="1">
        <v>40852</v>
      </c>
      <c r="P230" s="1">
        <f t="shared" si="255"/>
        <v>0</v>
      </c>
      <c r="Q230" s="1">
        <f t="shared" si="256"/>
        <v>40852</v>
      </c>
      <c r="R230" s="41">
        <f>80443.86+5141.36</f>
        <v>85585.22</v>
      </c>
      <c r="S230" s="1">
        <f t="shared" si="257"/>
        <v>44733.22</v>
      </c>
      <c r="T230" s="1">
        <f t="shared" si="258"/>
        <v>85585.22</v>
      </c>
      <c r="U230" s="1">
        <v>90726.58</v>
      </c>
      <c r="V230" s="1">
        <f t="shared" si="259"/>
        <v>5141.3600000000006</v>
      </c>
      <c r="W230" s="1">
        <f t="shared" si="260"/>
        <v>90726.58</v>
      </c>
      <c r="X230" s="1">
        <v>97246.27</v>
      </c>
      <c r="Y230" s="41">
        <f t="shared" si="231"/>
        <v>6519.6900000000023</v>
      </c>
      <c r="Z230" s="1">
        <f t="shared" si="261"/>
        <v>97246.27</v>
      </c>
      <c r="AA230" s="41">
        <v>105880.83</v>
      </c>
      <c r="AB230" s="1">
        <f t="shared" si="232"/>
        <v>8634.5599999999977</v>
      </c>
      <c r="AC230" s="1">
        <f t="shared" si="262"/>
        <v>105880.83</v>
      </c>
      <c r="AD230" s="41">
        <v>130483.76</v>
      </c>
      <c r="AE230" s="1">
        <f t="shared" si="263"/>
        <v>24602.929999999993</v>
      </c>
      <c r="AF230" s="1">
        <f t="shared" si="264"/>
        <v>130483.76</v>
      </c>
    </row>
    <row r="231" spans="1:32" outlineLevel="2">
      <c r="A231" s="13">
        <v>17100</v>
      </c>
      <c r="B231" s="11">
        <v>13000</v>
      </c>
      <c r="C231" s="11" t="s">
        <v>392</v>
      </c>
      <c r="D231" s="7">
        <v>114015.61</v>
      </c>
      <c r="E231" s="7">
        <v>145798.43</v>
      </c>
      <c r="F231" s="7">
        <f t="shared" si="192"/>
        <v>-31782.819999999992</v>
      </c>
      <c r="G231" s="7">
        <v>31782.82</v>
      </c>
      <c r="H231" s="7">
        <f t="shared" si="252"/>
        <v>145798.43</v>
      </c>
      <c r="I231" s="16">
        <v>172175.25</v>
      </c>
      <c r="J231" s="16">
        <f t="shared" si="195"/>
        <v>-26376.820000000007</v>
      </c>
      <c r="K231" s="16">
        <v>26376.82</v>
      </c>
      <c r="L231" s="16">
        <f t="shared" si="253"/>
        <v>172175.25</v>
      </c>
      <c r="M231" s="7">
        <f>130985.82-L231</f>
        <v>-41189.429999999993</v>
      </c>
      <c r="N231" s="1">
        <f t="shared" si="254"/>
        <v>130985.82</v>
      </c>
      <c r="O231" s="1">
        <v>142762.59</v>
      </c>
      <c r="P231" s="1">
        <f t="shared" si="255"/>
        <v>11776.76999999999</v>
      </c>
      <c r="Q231" s="1">
        <f t="shared" si="256"/>
        <v>142762.59</v>
      </c>
      <c r="R231" s="41">
        <v>67170.94</v>
      </c>
      <c r="S231" s="1">
        <f t="shared" si="257"/>
        <v>-75591.649999999994</v>
      </c>
      <c r="T231" s="1">
        <f t="shared" si="258"/>
        <v>67170.94</v>
      </c>
      <c r="U231" s="1">
        <v>56340.06</v>
      </c>
      <c r="V231" s="1">
        <f t="shared" si="259"/>
        <v>-10830.880000000005</v>
      </c>
      <c r="W231" s="1">
        <f t="shared" si="260"/>
        <v>56340.06</v>
      </c>
      <c r="X231" s="1">
        <v>71510.740000000005</v>
      </c>
      <c r="Y231" s="41">
        <f t="shared" si="231"/>
        <v>15170.680000000008</v>
      </c>
      <c r="Z231" s="1">
        <f t="shared" si="261"/>
        <v>71510.740000000005</v>
      </c>
      <c r="AA231" s="41">
        <v>58772.7</v>
      </c>
      <c r="AB231" s="1">
        <f t="shared" si="232"/>
        <v>-12738.040000000008</v>
      </c>
      <c r="AC231" s="1">
        <f t="shared" si="262"/>
        <v>58772.7</v>
      </c>
      <c r="AD231" s="41">
        <v>59769.55</v>
      </c>
      <c r="AE231" s="1">
        <f t="shared" si="263"/>
        <v>996.85000000000582</v>
      </c>
      <c r="AF231" s="1">
        <f t="shared" si="264"/>
        <v>59769.55</v>
      </c>
    </row>
    <row r="232" spans="1:32" outlineLevel="2">
      <c r="A232" s="13">
        <v>17100</v>
      </c>
      <c r="B232" s="11">
        <v>13002</v>
      </c>
      <c r="C232" s="11" t="s">
        <v>105</v>
      </c>
      <c r="D232" s="7">
        <v>0</v>
      </c>
      <c r="E232" s="7">
        <v>127077.07</v>
      </c>
      <c r="F232" s="7">
        <f t="shared" si="192"/>
        <v>-127077.07</v>
      </c>
      <c r="G232" s="7">
        <v>127077.07</v>
      </c>
      <c r="H232" s="7">
        <f t="shared" si="252"/>
        <v>127077.07</v>
      </c>
      <c r="I232" s="16">
        <v>185294.76</v>
      </c>
      <c r="J232" s="16">
        <f t="shared" si="195"/>
        <v>-58217.69</v>
      </c>
      <c r="K232" s="16">
        <v>58217.69</v>
      </c>
      <c r="L232" s="16">
        <f t="shared" si="253"/>
        <v>185294.76</v>
      </c>
      <c r="M232" s="7">
        <f>145774.86-L232</f>
        <v>-39519.900000000023</v>
      </c>
      <c r="N232" s="1">
        <f t="shared" si="254"/>
        <v>145774.85999999999</v>
      </c>
      <c r="O232" s="1">
        <v>155915.9</v>
      </c>
      <c r="P232" s="1">
        <f t="shared" si="255"/>
        <v>10141.040000000008</v>
      </c>
      <c r="Q232" s="1">
        <f t="shared" si="256"/>
        <v>155915.9</v>
      </c>
      <c r="R232" s="41">
        <v>73000.62</v>
      </c>
      <c r="S232" s="1">
        <f t="shared" si="257"/>
        <v>-82915.28</v>
      </c>
      <c r="T232" s="1">
        <f t="shared" si="258"/>
        <v>73000.62</v>
      </c>
      <c r="U232" s="1">
        <v>62859.58</v>
      </c>
      <c r="V232" s="1">
        <f t="shared" si="259"/>
        <v>-10141.039999999994</v>
      </c>
      <c r="W232" s="1">
        <f t="shared" si="260"/>
        <v>62859.58</v>
      </c>
      <c r="X232" s="1">
        <v>63488.160000000003</v>
      </c>
      <c r="Y232" s="41">
        <f t="shared" si="231"/>
        <v>628.58000000000175</v>
      </c>
      <c r="Z232" s="1">
        <f t="shared" si="261"/>
        <v>63488.160000000003</v>
      </c>
      <c r="AA232" s="41">
        <v>64123.47</v>
      </c>
      <c r="AB232" s="1">
        <f t="shared" si="232"/>
        <v>635.30999999999767</v>
      </c>
      <c r="AC232" s="1">
        <f t="shared" si="262"/>
        <v>64123.47</v>
      </c>
      <c r="AD232" s="41">
        <v>65085.65</v>
      </c>
      <c r="AE232" s="1">
        <f t="shared" si="263"/>
        <v>962.18000000000029</v>
      </c>
      <c r="AF232" s="1">
        <f t="shared" si="264"/>
        <v>65085.65</v>
      </c>
    </row>
    <row r="233" spans="1:32" outlineLevel="2">
      <c r="A233" s="42">
        <v>17100</v>
      </c>
      <c r="B233" s="19">
        <v>13100</v>
      </c>
      <c r="C233" s="42" t="s">
        <v>811</v>
      </c>
      <c r="D233" s="7"/>
      <c r="E233" s="7"/>
      <c r="F233" s="7"/>
      <c r="G233" s="7"/>
      <c r="H233" s="7"/>
      <c r="I233" s="16"/>
      <c r="J233" s="1"/>
      <c r="K233" s="16"/>
      <c r="L233" s="1"/>
      <c r="N233" s="1"/>
      <c r="O233" s="1"/>
      <c r="R233" s="41"/>
      <c r="T233" s="1"/>
      <c r="V233" s="1"/>
      <c r="W233" s="1">
        <v>0</v>
      </c>
      <c r="X233" s="1">
        <v>5993.29</v>
      </c>
      <c r="Y233" s="41">
        <f t="shared" si="231"/>
        <v>5993.29</v>
      </c>
      <c r="Z233" s="1">
        <f t="shared" si="261"/>
        <v>5993.29</v>
      </c>
      <c r="AA233" s="41">
        <v>0</v>
      </c>
      <c r="AB233" s="1">
        <f t="shared" si="232"/>
        <v>-5993.29</v>
      </c>
      <c r="AC233" s="1">
        <f t="shared" si="262"/>
        <v>0</v>
      </c>
      <c r="AD233" s="41">
        <v>0</v>
      </c>
      <c r="AE233" s="1">
        <f t="shared" si="263"/>
        <v>0</v>
      </c>
      <c r="AF233" s="1">
        <f t="shared" si="264"/>
        <v>0</v>
      </c>
    </row>
    <row r="234" spans="1:32" outlineLevel="2">
      <c r="A234" s="42">
        <v>17100</v>
      </c>
      <c r="B234" s="19">
        <v>13101</v>
      </c>
      <c r="C234" s="42" t="s">
        <v>812</v>
      </c>
      <c r="D234" s="7"/>
      <c r="E234" s="7"/>
      <c r="F234" s="7"/>
      <c r="G234" s="7"/>
      <c r="H234" s="7"/>
      <c r="I234" s="16"/>
      <c r="J234" s="1"/>
      <c r="K234" s="16"/>
      <c r="L234" s="1"/>
      <c r="N234" s="1"/>
      <c r="O234" s="1"/>
      <c r="R234" s="41"/>
      <c r="T234" s="1"/>
      <c r="V234" s="1"/>
      <c r="W234" s="1">
        <v>0</v>
      </c>
      <c r="X234" s="1">
        <v>7154.49</v>
      </c>
      <c r="Y234" s="41">
        <f t="shared" si="231"/>
        <v>7154.49</v>
      </c>
      <c r="Z234" s="1">
        <f t="shared" si="261"/>
        <v>7154.49</v>
      </c>
      <c r="AA234" s="41">
        <v>0</v>
      </c>
      <c r="AB234" s="1">
        <f t="shared" si="232"/>
        <v>-7154.49</v>
      </c>
      <c r="AC234" s="1">
        <f t="shared" si="262"/>
        <v>0</v>
      </c>
      <c r="AD234" s="41">
        <v>0</v>
      </c>
      <c r="AE234" s="1">
        <f t="shared" si="263"/>
        <v>0</v>
      </c>
      <c r="AF234" s="1">
        <f t="shared" si="264"/>
        <v>0</v>
      </c>
    </row>
    <row r="235" spans="1:32" outlineLevel="2">
      <c r="A235" s="42">
        <v>17100</v>
      </c>
      <c r="B235" s="11">
        <v>15000</v>
      </c>
      <c r="C235" s="39" t="s">
        <v>387</v>
      </c>
      <c r="D235" s="7"/>
      <c r="E235" s="7"/>
      <c r="F235" s="7"/>
      <c r="G235" s="7"/>
      <c r="H235" s="7"/>
      <c r="I235" s="16"/>
      <c r="J235" s="16"/>
      <c r="K235" s="16"/>
      <c r="L235" s="16"/>
      <c r="N235" s="1"/>
      <c r="O235" s="1"/>
      <c r="R235" s="41"/>
      <c r="T235" s="1"/>
      <c r="V235" s="1"/>
      <c r="W235" s="1">
        <v>0</v>
      </c>
      <c r="X235" s="1">
        <v>2500</v>
      </c>
      <c r="Y235" s="41">
        <f t="shared" ref="Y235" si="265">X235-W235</f>
        <v>2500</v>
      </c>
      <c r="Z235" s="1">
        <f t="shared" ref="Z235" si="266">W235+Y235</f>
        <v>2500</v>
      </c>
      <c r="AA235" s="41">
        <v>1400</v>
      </c>
      <c r="AB235" s="1">
        <f t="shared" si="232"/>
        <v>-1100</v>
      </c>
      <c r="AC235" s="1">
        <f t="shared" si="262"/>
        <v>1400</v>
      </c>
      <c r="AD235" s="41">
        <v>1400</v>
      </c>
      <c r="AE235" s="1">
        <f t="shared" si="263"/>
        <v>0</v>
      </c>
      <c r="AF235" s="1">
        <f t="shared" si="264"/>
        <v>1400</v>
      </c>
    </row>
    <row r="236" spans="1:32" outlineLevel="2">
      <c r="A236" s="13">
        <v>17100</v>
      </c>
      <c r="B236" s="19">
        <v>15100</v>
      </c>
      <c r="C236" s="19" t="s">
        <v>393</v>
      </c>
      <c r="D236" s="20">
        <v>3606.07</v>
      </c>
      <c r="E236" s="20">
        <v>1200</v>
      </c>
      <c r="F236" s="20">
        <f t="shared" si="192"/>
        <v>2406.0700000000002</v>
      </c>
      <c r="G236" s="20">
        <v>-2406.0700000000002</v>
      </c>
      <c r="H236" s="20">
        <f t="shared" si="252"/>
        <v>1200</v>
      </c>
      <c r="I236" s="22">
        <v>1200</v>
      </c>
      <c r="J236" s="22">
        <f t="shared" si="195"/>
        <v>0</v>
      </c>
      <c r="K236" s="22">
        <v>0</v>
      </c>
      <c r="L236" s="22">
        <f t="shared" si="253"/>
        <v>1200</v>
      </c>
      <c r="M236" s="7">
        <v>-1000</v>
      </c>
      <c r="N236" s="1">
        <f t="shared" si="254"/>
        <v>200</v>
      </c>
      <c r="O236" s="1">
        <v>900</v>
      </c>
      <c r="P236" s="1">
        <f t="shared" si="255"/>
        <v>700</v>
      </c>
      <c r="Q236" s="1">
        <f t="shared" si="256"/>
        <v>900</v>
      </c>
      <c r="R236" s="41">
        <v>300</v>
      </c>
      <c r="S236" s="1">
        <f t="shared" si="257"/>
        <v>-600</v>
      </c>
      <c r="T236" s="1">
        <f t="shared" si="258"/>
        <v>300</v>
      </c>
      <c r="U236" s="1">
        <v>300</v>
      </c>
      <c r="V236" s="1">
        <f t="shared" si="259"/>
        <v>0</v>
      </c>
      <c r="W236" s="1">
        <f t="shared" si="260"/>
        <v>300</v>
      </c>
      <c r="X236" s="1">
        <v>300</v>
      </c>
      <c r="Y236" s="41">
        <f t="shared" si="231"/>
        <v>0</v>
      </c>
      <c r="Z236" s="1">
        <f t="shared" si="261"/>
        <v>300</v>
      </c>
      <c r="AA236" s="41">
        <v>0</v>
      </c>
      <c r="AB236" s="1">
        <f t="shared" si="232"/>
        <v>-300</v>
      </c>
      <c r="AC236" s="1">
        <f t="shared" si="262"/>
        <v>0</v>
      </c>
      <c r="AD236" s="41">
        <v>0</v>
      </c>
      <c r="AE236" s="1">
        <f t="shared" si="263"/>
        <v>0</v>
      </c>
      <c r="AF236" s="1">
        <f t="shared" si="264"/>
        <v>0</v>
      </c>
    </row>
    <row r="237" spans="1:32" outlineLevel="2">
      <c r="A237" s="13">
        <v>17100</v>
      </c>
      <c r="B237" s="60">
        <v>16000</v>
      </c>
      <c r="C237" s="56" t="s">
        <v>746</v>
      </c>
      <c r="D237" s="62"/>
      <c r="E237" s="64"/>
      <c r="F237" s="62"/>
      <c r="G237" s="64"/>
      <c r="H237" s="62"/>
      <c r="I237" s="64"/>
      <c r="J237" s="62"/>
      <c r="K237" s="64"/>
      <c r="L237" s="62"/>
      <c r="M237" s="63"/>
      <c r="N237" s="53"/>
      <c r="O237" s="53"/>
      <c r="P237" s="53"/>
      <c r="Q237" s="53"/>
      <c r="R237" s="58"/>
      <c r="S237" s="53"/>
      <c r="T237" s="53">
        <f t="shared" si="258"/>
        <v>0</v>
      </c>
      <c r="U237" s="63"/>
      <c r="V237" s="53">
        <f t="shared" si="259"/>
        <v>0</v>
      </c>
      <c r="W237" s="53">
        <f t="shared" si="260"/>
        <v>0</v>
      </c>
      <c r="X237" s="1">
        <v>0</v>
      </c>
      <c r="Y237" s="41">
        <f t="shared" si="231"/>
        <v>0</v>
      </c>
      <c r="Z237" s="1">
        <f t="shared" si="261"/>
        <v>0</v>
      </c>
      <c r="AA237" s="41">
        <v>0</v>
      </c>
      <c r="AB237" s="1">
        <f t="shared" si="232"/>
        <v>0</v>
      </c>
      <c r="AC237" s="1">
        <f t="shared" si="262"/>
        <v>0</v>
      </c>
      <c r="AD237" s="41">
        <v>173600.22</v>
      </c>
      <c r="AE237" s="1">
        <f t="shared" si="263"/>
        <v>173600.22</v>
      </c>
      <c r="AF237" s="1">
        <f t="shared" si="264"/>
        <v>173600.22</v>
      </c>
    </row>
    <row r="238" spans="1:32" outlineLevel="2">
      <c r="A238" s="42">
        <v>17100</v>
      </c>
      <c r="B238" s="60">
        <v>20200</v>
      </c>
      <c r="C238" s="56" t="s">
        <v>906</v>
      </c>
      <c r="D238" s="62"/>
      <c r="E238" s="64"/>
      <c r="F238" s="62"/>
      <c r="G238" s="64"/>
      <c r="H238" s="62"/>
      <c r="I238" s="64"/>
      <c r="J238" s="62"/>
      <c r="K238" s="64"/>
      <c r="L238" s="62"/>
      <c r="M238" s="63"/>
      <c r="N238" s="53"/>
      <c r="O238" s="53"/>
      <c r="P238" s="53"/>
      <c r="Q238" s="53"/>
      <c r="R238" s="58"/>
      <c r="S238" s="53"/>
      <c r="T238" s="53"/>
      <c r="U238" s="63"/>
      <c r="V238" s="53"/>
      <c r="W238" s="53"/>
      <c r="Y238" s="41"/>
      <c r="Z238" s="1"/>
      <c r="AA238" s="41"/>
      <c r="AB238" s="1"/>
      <c r="AC238" s="1">
        <v>0</v>
      </c>
      <c r="AD238" s="41">
        <f>2000*1.21*9</f>
        <v>21780</v>
      </c>
      <c r="AE238" s="1">
        <f t="shared" ref="AE238" si="267">AD238-AC238</f>
        <v>21780</v>
      </c>
      <c r="AF238" s="1">
        <f t="shared" ref="AF238" si="268">AC238+AE238</f>
        <v>21780</v>
      </c>
    </row>
    <row r="239" spans="1:32" outlineLevel="2">
      <c r="A239" s="13">
        <v>17100</v>
      </c>
      <c r="B239" s="11">
        <v>20300</v>
      </c>
      <c r="C239" s="11" t="s">
        <v>394</v>
      </c>
      <c r="D239" s="7">
        <v>18525.3</v>
      </c>
      <c r="E239" s="7"/>
      <c r="F239" s="7">
        <f t="shared" si="192"/>
        <v>18525.3</v>
      </c>
      <c r="G239" s="7">
        <v>-8525.2999999999993</v>
      </c>
      <c r="H239" s="7">
        <f t="shared" si="252"/>
        <v>10000</v>
      </c>
      <c r="I239" s="1"/>
      <c r="J239" s="1">
        <f t="shared" si="195"/>
        <v>10000</v>
      </c>
      <c r="K239" s="1"/>
      <c r="L239" s="1">
        <f t="shared" si="253"/>
        <v>10000</v>
      </c>
      <c r="N239" s="1">
        <f t="shared" si="254"/>
        <v>10000</v>
      </c>
      <c r="O239" s="1"/>
      <c r="Q239" s="1">
        <f t="shared" si="256"/>
        <v>10000</v>
      </c>
      <c r="S239" s="1">
        <v>5000</v>
      </c>
      <c r="T239" s="1">
        <f t="shared" si="258"/>
        <v>15000</v>
      </c>
      <c r="U239" s="1">
        <f t="shared" si="258"/>
        <v>15000</v>
      </c>
      <c r="V239" s="1">
        <f t="shared" si="259"/>
        <v>0</v>
      </c>
      <c r="W239" s="1">
        <f t="shared" si="260"/>
        <v>15000</v>
      </c>
      <c r="X239" s="1">
        <v>10000</v>
      </c>
      <c r="Y239" s="41">
        <f t="shared" si="231"/>
        <v>-5000</v>
      </c>
      <c r="Z239" s="1">
        <f t="shared" si="261"/>
        <v>10000</v>
      </c>
      <c r="AA239" s="1">
        <v>10000</v>
      </c>
      <c r="AB239" s="1">
        <f t="shared" si="232"/>
        <v>0</v>
      </c>
      <c r="AC239" s="1">
        <f t="shared" si="262"/>
        <v>10000</v>
      </c>
      <c r="AD239" s="41">
        <v>25000</v>
      </c>
      <c r="AE239" s="1">
        <f t="shared" si="263"/>
        <v>15000</v>
      </c>
      <c r="AF239" s="1">
        <f t="shared" si="264"/>
        <v>25000</v>
      </c>
    </row>
    <row r="240" spans="1:32" outlineLevel="2">
      <c r="A240" s="13">
        <v>17100</v>
      </c>
      <c r="B240" s="11">
        <v>20400</v>
      </c>
      <c r="C240" s="11" t="s">
        <v>395</v>
      </c>
      <c r="D240" s="7">
        <v>4000</v>
      </c>
      <c r="E240" s="7"/>
      <c r="F240" s="7">
        <f t="shared" si="192"/>
        <v>4000</v>
      </c>
      <c r="G240" s="7"/>
      <c r="H240" s="7">
        <f t="shared" si="252"/>
        <v>4000</v>
      </c>
      <c r="I240" s="1"/>
      <c r="J240" s="1">
        <f t="shared" si="195"/>
        <v>4000</v>
      </c>
      <c r="K240" s="1"/>
      <c r="L240" s="1">
        <f t="shared" si="253"/>
        <v>4000</v>
      </c>
      <c r="N240" s="1">
        <f t="shared" si="254"/>
        <v>4000</v>
      </c>
      <c r="O240" s="1"/>
      <c r="Q240" s="1">
        <f t="shared" si="256"/>
        <v>4000</v>
      </c>
      <c r="S240" s="1">
        <v>10000</v>
      </c>
      <c r="T240" s="1">
        <f t="shared" si="258"/>
        <v>14000</v>
      </c>
      <c r="U240" s="1">
        <f t="shared" si="258"/>
        <v>14000</v>
      </c>
      <c r="V240" s="1">
        <f t="shared" si="259"/>
        <v>0</v>
      </c>
      <c r="W240" s="1">
        <f t="shared" si="260"/>
        <v>14000</v>
      </c>
      <c r="X240" s="1">
        <v>12000</v>
      </c>
      <c r="Y240" s="41">
        <f t="shared" si="231"/>
        <v>-2000</v>
      </c>
      <c r="Z240" s="1">
        <f t="shared" si="261"/>
        <v>12000</v>
      </c>
      <c r="AA240" s="1">
        <v>7244.16</v>
      </c>
      <c r="AB240" s="1">
        <f t="shared" si="232"/>
        <v>-4755.84</v>
      </c>
      <c r="AC240" s="1">
        <f t="shared" si="262"/>
        <v>7244.16</v>
      </c>
      <c r="AD240" s="41">
        <v>7500</v>
      </c>
      <c r="AE240" s="1">
        <f t="shared" si="263"/>
        <v>255.84000000000015</v>
      </c>
      <c r="AF240" s="1">
        <f t="shared" si="264"/>
        <v>7500</v>
      </c>
    </row>
    <row r="241" spans="1:32" outlineLevel="2">
      <c r="A241" s="13">
        <v>17100</v>
      </c>
      <c r="B241" s="11">
        <v>21000</v>
      </c>
      <c r="C241" s="11" t="s">
        <v>396</v>
      </c>
      <c r="D241" s="7">
        <v>100000</v>
      </c>
      <c r="E241" s="7"/>
      <c r="F241" s="7">
        <f t="shared" si="192"/>
        <v>100000</v>
      </c>
      <c r="G241" s="7">
        <v>-10000</v>
      </c>
      <c r="H241" s="7">
        <f t="shared" si="252"/>
        <v>90000</v>
      </c>
      <c r="I241" s="1">
        <f>98392+70799</f>
        <v>169191</v>
      </c>
      <c r="J241" s="1">
        <f t="shared" si="195"/>
        <v>-79191</v>
      </c>
      <c r="K241" s="1">
        <v>79191</v>
      </c>
      <c r="L241" s="1">
        <f t="shared" si="253"/>
        <v>169191</v>
      </c>
      <c r="M241" s="7">
        <f>180000-L241</f>
        <v>10809</v>
      </c>
      <c r="N241" s="1">
        <f t="shared" si="254"/>
        <v>180000</v>
      </c>
      <c r="O241" s="1"/>
      <c r="P241" s="1">
        <v>30000</v>
      </c>
      <c r="Q241" s="1">
        <f t="shared" si="256"/>
        <v>210000</v>
      </c>
      <c r="R241" s="1">
        <f>(267803.46+56238.73)/2</f>
        <v>162021.095</v>
      </c>
      <c r="T241" s="1">
        <f t="shared" si="258"/>
        <v>210000</v>
      </c>
      <c r="U241" s="1">
        <v>240000</v>
      </c>
      <c r="V241" s="1">
        <v>30000</v>
      </c>
      <c r="W241" s="1">
        <f t="shared" si="260"/>
        <v>240000</v>
      </c>
      <c r="X241" s="1">
        <v>240000</v>
      </c>
      <c r="Y241" s="41">
        <f t="shared" si="231"/>
        <v>0</v>
      </c>
      <c r="Z241" s="1">
        <f t="shared" si="261"/>
        <v>240000</v>
      </c>
      <c r="AA241" s="1">
        <v>240000</v>
      </c>
      <c r="AB241" s="1">
        <f t="shared" si="232"/>
        <v>0</v>
      </c>
      <c r="AC241" s="1">
        <f t="shared" si="262"/>
        <v>240000</v>
      </c>
      <c r="AD241" s="41">
        <v>225000</v>
      </c>
      <c r="AE241" s="1">
        <f t="shared" si="263"/>
        <v>-15000</v>
      </c>
      <c r="AF241" s="1">
        <f t="shared" si="264"/>
        <v>225000</v>
      </c>
    </row>
    <row r="242" spans="1:32" outlineLevel="2">
      <c r="A242" s="13">
        <v>17100</v>
      </c>
      <c r="B242" s="11">
        <v>21300</v>
      </c>
      <c r="C242" s="11" t="s">
        <v>397</v>
      </c>
      <c r="D242" s="7">
        <v>6400</v>
      </c>
      <c r="E242" s="7"/>
      <c r="F242" s="7">
        <f t="shared" ref="F242:F251" si="269">D242-E242</f>
        <v>6400</v>
      </c>
      <c r="G242" s="7">
        <v>-1400</v>
      </c>
      <c r="H242" s="7">
        <f t="shared" si="252"/>
        <v>5000</v>
      </c>
      <c r="I242" s="1"/>
      <c r="J242" s="1">
        <f t="shared" si="195"/>
        <v>5000</v>
      </c>
      <c r="K242" s="1"/>
      <c r="L242" s="1">
        <f t="shared" si="253"/>
        <v>5000</v>
      </c>
      <c r="N242" s="1">
        <f t="shared" si="254"/>
        <v>5000</v>
      </c>
      <c r="O242" s="1"/>
      <c r="Q242" s="1">
        <f t="shared" si="256"/>
        <v>5000</v>
      </c>
      <c r="T242" s="1">
        <f t="shared" si="258"/>
        <v>5000</v>
      </c>
      <c r="U242" s="1">
        <f t="shared" si="258"/>
        <v>5000</v>
      </c>
      <c r="V242" s="1">
        <f t="shared" si="259"/>
        <v>0</v>
      </c>
      <c r="W242" s="1">
        <f t="shared" si="260"/>
        <v>5000</v>
      </c>
      <c r="X242" s="1">
        <v>7000</v>
      </c>
      <c r="Y242" s="41">
        <f t="shared" si="231"/>
        <v>2000</v>
      </c>
      <c r="Z242" s="1">
        <f t="shared" si="261"/>
        <v>7000</v>
      </c>
      <c r="AA242" s="1">
        <v>7000</v>
      </c>
      <c r="AB242" s="1">
        <f t="shared" si="232"/>
        <v>0</v>
      </c>
      <c r="AC242" s="1">
        <f t="shared" si="262"/>
        <v>7000</v>
      </c>
      <c r="AD242" s="41">
        <v>5000</v>
      </c>
      <c r="AE242" s="1">
        <f t="shared" si="263"/>
        <v>-2000</v>
      </c>
      <c r="AF242" s="1">
        <f t="shared" si="264"/>
        <v>5000</v>
      </c>
    </row>
    <row r="243" spans="1:32" outlineLevel="2">
      <c r="A243" s="13">
        <v>17100</v>
      </c>
      <c r="B243" s="11">
        <v>21400</v>
      </c>
      <c r="C243" s="11" t="s">
        <v>322</v>
      </c>
      <c r="D243" s="7">
        <v>4808</v>
      </c>
      <c r="E243" s="7"/>
      <c r="F243" s="7">
        <f t="shared" si="269"/>
        <v>4808</v>
      </c>
      <c r="G243" s="7">
        <v>-1808</v>
      </c>
      <c r="H243" s="7">
        <f t="shared" si="252"/>
        <v>3000</v>
      </c>
      <c r="I243" s="1"/>
      <c r="J243" s="1">
        <f t="shared" si="195"/>
        <v>3000</v>
      </c>
      <c r="K243" s="1"/>
      <c r="L243" s="1">
        <f t="shared" si="253"/>
        <v>3000</v>
      </c>
      <c r="N243" s="1">
        <f t="shared" si="254"/>
        <v>3000</v>
      </c>
      <c r="O243" s="1"/>
      <c r="Q243" s="1">
        <f t="shared" si="256"/>
        <v>3000</v>
      </c>
      <c r="T243" s="1">
        <f t="shared" si="258"/>
        <v>3000</v>
      </c>
      <c r="U243" s="1">
        <v>12000</v>
      </c>
      <c r="V243" s="1">
        <f t="shared" si="259"/>
        <v>9000</v>
      </c>
      <c r="W243" s="1">
        <f t="shared" si="260"/>
        <v>12000</v>
      </c>
      <c r="X243" s="1">
        <v>15000</v>
      </c>
      <c r="Y243" s="41">
        <f t="shared" si="231"/>
        <v>3000</v>
      </c>
      <c r="Z243" s="1">
        <f t="shared" si="261"/>
        <v>15000</v>
      </c>
      <c r="AA243" s="1">
        <v>15000</v>
      </c>
      <c r="AB243" s="1">
        <f t="shared" si="232"/>
        <v>0</v>
      </c>
      <c r="AC243" s="1">
        <f t="shared" si="262"/>
        <v>15000</v>
      </c>
      <c r="AD243" s="41">
        <v>10000</v>
      </c>
      <c r="AE243" s="1">
        <f t="shared" si="263"/>
        <v>-5000</v>
      </c>
      <c r="AF243" s="1">
        <f t="shared" si="264"/>
        <v>10000</v>
      </c>
    </row>
    <row r="244" spans="1:32" outlineLevel="2">
      <c r="A244" s="13">
        <v>17100</v>
      </c>
      <c r="B244" s="11">
        <v>22000</v>
      </c>
      <c r="C244" s="11" t="s">
        <v>280</v>
      </c>
      <c r="D244" s="7">
        <v>640</v>
      </c>
      <c r="E244" s="7"/>
      <c r="F244" s="7">
        <f t="shared" si="269"/>
        <v>640</v>
      </c>
      <c r="G244" s="7"/>
      <c r="H244" s="7">
        <f t="shared" si="252"/>
        <v>640</v>
      </c>
      <c r="I244" s="1"/>
      <c r="J244" s="1">
        <f t="shared" si="195"/>
        <v>640</v>
      </c>
      <c r="K244" s="1"/>
      <c r="L244" s="1">
        <f t="shared" si="253"/>
        <v>640</v>
      </c>
      <c r="N244" s="1">
        <f t="shared" si="254"/>
        <v>640</v>
      </c>
      <c r="O244" s="1"/>
      <c r="Q244" s="1">
        <f t="shared" si="256"/>
        <v>640</v>
      </c>
      <c r="T244" s="1">
        <f t="shared" si="258"/>
        <v>640</v>
      </c>
      <c r="U244" s="1">
        <f t="shared" si="258"/>
        <v>640</v>
      </c>
      <c r="V244" s="1">
        <f t="shared" si="259"/>
        <v>0</v>
      </c>
      <c r="W244" s="1">
        <f t="shared" si="260"/>
        <v>640</v>
      </c>
      <c r="X244" s="1">
        <v>200</v>
      </c>
      <c r="Y244" s="41">
        <f t="shared" si="231"/>
        <v>-440</v>
      </c>
      <c r="Z244" s="1">
        <f t="shared" si="261"/>
        <v>200</v>
      </c>
      <c r="AA244" s="1">
        <v>200</v>
      </c>
      <c r="AB244" s="1">
        <f t="shared" si="232"/>
        <v>0</v>
      </c>
      <c r="AC244" s="1">
        <f t="shared" si="262"/>
        <v>200</v>
      </c>
      <c r="AD244" s="41">
        <v>100</v>
      </c>
      <c r="AE244" s="1">
        <f t="shared" si="263"/>
        <v>-100</v>
      </c>
      <c r="AF244" s="1">
        <f t="shared" si="264"/>
        <v>100</v>
      </c>
    </row>
    <row r="245" spans="1:32" outlineLevel="2">
      <c r="A245" s="42">
        <v>17100</v>
      </c>
      <c r="B245" s="11">
        <v>22101</v>
      </c>
      <c r="C245" s="39" t="s">
        <v>926</v>
      </c>
      <c r="D245" s="7"/>
      <c r="E245" s="7"/>
      <c r="F245" s="7"/>
      <c r="G245" s="7"/>
      <c r="H245" s="7"/>
      <c r="I245" s="1"/>
      <c r="J245" s="1"/>
      <c r="K245" s="1"/>
      <c r="L245" s="1"/>
      <c r="N245" s="1"/>
      <c r="O245" s="1"/>
      <c r="T245" s="1"/>
      <c r="V245" s="1"/>
      <c r="W245" s="1"/>
      <c r="Y245" s="41"/>
      <c r="Z245" s="1"/>
      <c r="AB245" s="1"/>
      <c r="AC245" s="1">
        <v>0</v>
      </c>
      <c r="AD245" s="41">
        <v>1000</v>
      </c>
      <c r="AE245" s="1">
        <f t="shared" ref="AE245" si="270">AD245-AC245</f>
        <v>1000</v>
      </c>
      <c r="AF245" s="1">
        <f t="shared" ref="AF245" si="271">AC245+AE245</f>
        <v>1000</v>
      </c>
    </row>
    <row r="246" spans="1:32" outlineLevel="2">
      <c r="A246" s="13">
        <v>17100</v>
      </c>
      <c r="B246" s="11">
        <v>22103</v>
      </c>
      <c r="C246" s="11" t="s">
        <v>398</v>
      </c>
      <c r="D246" s="7">
        <v>8000</v>
      </c>
      <c r="E246" s="7"/>
      <c r="F246" s="7">
        <f t="shared" si="269"/>
        <v>8000</v>
      </c>
      <c r="G246" s="7"/>
      <c r="H246" s="7">
        <f t="shared" si="252"/>
        <v>8000</v>
      </c>
      <c r="I246" s="1"/>
      <c r="J246" s="1">
        <f t="shared" si="195"/>
        <v>8000</v>
      </c>
      <c r="K246" s="1"/>
      <c r="L246" s="1">
        <f t="shared" si="253"/>
        <v>8000</v>
      </c>
      <c r="N246" s="1">
        <f t="shared" si="254"/>
        <v>8000</v>
      </c>
      <c r="O246" s="1"/>
      <c r="Q246" s="1">
        <f t="shared" si="256"/>
        <v>8000</v>
      </c>
      <c r="S246" s="1">
        <v>10000</v>
      </c>
      <c r="T246" s="1">
        <f t="shared" si="258"/>
        <v>18000</v>
      </c>
      <c r="U246" s="1">
        <f t="shared" si="258"/>
        <v>18000</v>
      </c>
      <c r="V246" s="1">
        <f t="shared" si="259"/>
        <v>0</v>
      </c>
      <c r="W246" s="1">
        <f t="shared" si="260"/>
        <v>18000</v>
      </c>
      <c r="X246" s="1">
        <v>15000</v>
      </c>
      <c r="Y246" s="41">
        <f t="shared" si="231"/>
        <v>-3000</v>
      </c>
      <c r="Z246" s="1">
        <f t="shared" si="261"/>
        <v>15000</v>
      </c>
      <c r="AA246" s="1">
        <v>15000</v>
      </c>
      <c r="AB246" s="1">
        <f t="shared" si="232"/>
        <v>0</v>
      </c>
      <c r="AC246" s="1">
        <f t="shared" si="262"/>
        <v>15000</v>
      </c>
      <c r="AD246" s="41">
        <v>12000</v>
      </c>
      <c r="AE246" s="1">
        <f t="shared" si="263"/>
        <v>-3000</v>
      </c>
      <c r="AF246" s="1">
        <f t="shared" si="264"/>
        <v>12000</v>
      </c>
    </row>
    <row r="247" spans="1:32" outlineLevel="2">
      <c r="A247" s="13">
        <v>17100</v>
      </c>
      <c r="B247" s="11">
        <v>22104</v>
      </c>
      <c r="C247" s="11" t="s">
        <v>399</v>
      </c>
      <c r="D247" s="7">
        <v>6400</v>
      </c>
      <c r="E247" s="7"/>
      <c r="F247" s="7">
        <f t="shared" si="269"/>
        <v>6400</v>
      </c>
      <c r="G247" s="7"/>
      <c r="H247" s="7">
        <f t="shared" si="252"/>
        <v>6400</v>
      </c>
      <c r="I247" s="1"/>
      <c r="J247" s="1">
        <f t="shared" si="195"/>
        <v>6400</v>
      </c>
      <c r="K247" s="1"/>
      <c r="L247" s="1">
        <f t="shared" si="253"/>
        <v>6400</v>
      </c>
      <c r="M247" s="7">
        <v>-4400</v>
      </c>
      <c r="N247" s="1">
        <f t="shared" si="254"/>
        <v>2000</v>
      </c>
      <c r="O247" s="1"/>
      <c r="Q247" s="1">
        <f t="shared" si="256"/>
        <v>2000</v>
      </c>
      <c r="T247" s="1">
        <f t="shared" si="258"/>
        <v>2000</v>
      </c>
      <c r="U247" s="1">
        <v>4000</v>
      </c>
      <c r="V247" s="1">
        <f t="shared" si="259"/>
        <v>2000</v>
      </c>
      <c r="W247" s="1">
        <f t="shared" si="260"/>
        <v>4000</v>
      </c>
      <c r="X247" s="1">
        <v>6000</v>
      </c>
      <c r="Y247" s="41">
        <f t="shared" si="231"/>
        <v>2000</v>
      </c>
      <c r="Z247" s="1">
        <f t="shared" si="261"/>
        <v>6000</v>
      </c>
      <c r="AA247" s="1">
        <v>6000</v>
      </c>
      <c r="AB247" s="1">
        <f t="shared" si="232"/>
        <v>0</v>
      </c>
      <c r="AC247" s="1">
        <f t="shared" si="262"/>
        <v>6000</v>
      </c>
      <c r="AD247" s="41">
        <v>5000</v>
      </c>
      <c r="AE247" s="1">
        <f t="shared" si="263"/>
        <v>-1000</v>
      </c>
      <c r="AF247" s="1">
        <f t="shared" si="264"/>
        <v>5000</v>
      </c>
    </row>
    <row r="248" spans="1:32" outlineLevel="2">
      <c r="A248" s="13">
        <v>17100</v>
      </c>
      <c r="B248" s="11">
        <v>22199</v>
      </c>
      <c r="C248" s="11" t="s">
        <v>232</v>
      </c>
      <c r="D248" s="7">
        <v>16230</v>
      </c>
      <c r="E248" s="7"/>
      <c r="F248" s="7">
        <f t="shared" si="269"/>
        <v>16230</v>
      </c>
      <c r="G248" s="7">
        <v>-1230</v>
      </c>
      <c r="H248" s="7">
        <f t="shared" si="252"/>
        <v>15000</v>
      </c>
      <c r="I248" s="1"/>
      <c r="J248" s="1">
        <f t="shared" si="195"/>
        <v>15000</v>
      </c>
      <c r="K248" s="1"/>
      <c r="L248" s="1">
        <f t="shared" si="253"/>
        <v>15000</v>
      </c>
      <c r="N248" s="1">
        <f t="shared" si="254"/>
        <v>15000</v>
      </c>
      <c r="O248" s="1"/>
      <c r="Q248" s="1">
        <f t="shared" si="256"/>
        <v>15000</v>
      </c>
      <c r="S248" s="1">
        <v>15000</v>
      </c>
      <c r="T248" s="1">
        <f t="shared" si="258"/>
        <v>30000</v>
      </c>
      <c r="U248" s="1">
        <v>35000</v>
      </c>
      <c r="V248" s="1">
        <f t="shared" si="259"/>
        <v>5000</v>
      </c>
      <c r="W248" s="1">
        <f t="shared" si="260"/>
        <v>35000</v>
      </c>
      <c r="X248" s="1">
        <v>40000</v>
      </c>
      <c r="Y248" s="41">
        <f t="shared" si="231"/>
        <v>5000</v>
      </c>
      <c r="Z248" s="1">
        <f t="shared" si="261"/>
        <v>40000</v>
      </c>
      <c r="AA248" s="1">
        <v>40000</v>
      </c>
      <c r="AB248" s="1">
        <f t="shared" si="232"/>
        <v>0</v>
      </c>
      <c r="AC248" s="1">
        <f t="shared" si="262"/>
        <v>40000</v>
      </c>
      <c r="AD248" s="41">
        <v>45000</v>
      </c>
      <c r="AE248" s="1">
        <f t="shared" si="263"/>
        <v>5000</v>
      </c>
      <c r="AF248" s="1">
        <f t="shared" si="264"/>
        <v>45000</v>
      </c>
    </row>
    <row r="249" spans="1:32" outlineLevel="2">
      <c r="A249" s="13">
        <v>17100</v>
      </c>
      <c r="B249" s="11">
        <v>22699</v>
      </c>
      <c r="C249" s="11" t="s">
        <v>400</v>
      </c>
      <c r="D249" s="7">
        <v>1080</v>
      </c>
      <c r="E249" s="7"/>
      <c r="F249" s="7">
        <f t="shared" si="269"/>
        <v>1080</v>
      </c>
      <c r="G249" s="7"/>
      <c r="H249" s="7">
        <f t="shared" si="252"/>
        <v>1080</v>
      </c>
      <c r="I249" s="1"/>
      <c r="J249" s="1">
        <f t="shared" si="195"/>
        <v>1080</v>
      </c>
      <c r="K249" s="1"/>
      <c r="L249" s="1">
        <f t="shared" si="253"/>
        <v>1080</v>
      </c>
      <c r="N249" s="1">
        <f t="shared" si="254"/>
        <v>1080</v>
      </c>
      <c r="O249" s="1"/>
      <c r="Q249" s="1">
        <f t="shared" si="256"/>
        <v>1080</v>
      </c>
      <c r="T249" s="1">
        <f t="shared" si="258"/>
        <v>1080</v>
      </c>
      <c r="U249" s="1">
        <f t="shared" si="258"/>
        <v>1080</v>
      </c>
      <c r="V249" s="1">
        <f t="shared" si="259"/>
        <v>0</v>
      </c>
      <c r="W249" s="1">
        <f t="shared" si="260"/>
        <v>1080</v>
      </c>
      <c r="X249" s="1">
        <v>1500</v>
      </c>
      <c r="Y249" s="41">
        <f t="shared" si="231"/>
        <v>420</v>
      </c>
      <c r="Z249" s="1">
        <f t="shared" si="261"/>
        <v>1500</v>
      </c>
      <c r="AA249" s="1">
        <v>1500</v>
      </c>
      <c r="AB249" s="1">
        <f t="shared" si="232"/>
        <v>0</v>
      </c>
      <c r="AC249" s="1">
        <f t="shared" si="262"/>
        <v>1500</v>
      </c>
      <c r="AD249" s="41">
        <v>5000</v>
      </c>
      <c r="AE249" s="1">
        <f t="shared" si="263"/>
        <v>3500</v>
      </c>
      <c r="AF249" s="1">
        <f t="shared" si="264"/>
        <v>5000</v>
      </c>
    </row>
    <row r="250" spans="1:32" s="2" customFormat="1" outlineLevel="1">
      <c r="A250" s="13">
        <v>17100</v>
      </c>
      <c r="B250" s="11">
        <v>23020</v>
      </c>
      <c r="C250" s="11" t="s">
        <v>385</v>
      </c>
      <c r="D250" s="7">
        <v>1160</v>
      </c>
      <c r="E250" s="7"/>
      <c r="F250" s="7">
        <f t="shared" si="269"/>
        <v>1160</v>
      </c>
      <c r="G250" s="7"/>
      <c r="H250" s="7">
        <f t="shared" si="252"/>
        <v>1160</v>
      </c>
      <c r="I250" s="1"/>
      <c r="J250" s="1">
        <f t="shared" si="195"/>
        <v>1160</v>
      </c>
      <c r="K250" s="1"/>
      <c r="L250" s="1">
        <f t="shared" si="253"/>
        <v>1160</v>
      </c>
      <c r="M250" s="8"/>
      <c r="N250" s="1">
        <f t="shared" si="254"/>
        <v>1160</v>
      </c>
      <c r="O250" s="1"/>
      <c r="P250" s="3"/>
      <c r="Q250" s="1">
        <f t="shared" si="256"/>
        <v>1160</v>
      </c>
      <c r="R250" s="3"/>
      <c r="S250" s="3"/>
      <c r="T250" s="1">
        <f t="shared" si="258"/>
        <v>1160</v>
      </c>
      <c r="U250" s="1">
        <f t="shared" si="258"/>
        <v>1160</v>
      </c>
      <c r="V250" s="1">
        <f t="shared" si="259"/>
        <v>0</v>
      </c>
      <c r="W250" s="1">
        <f t="shared" si="260"/>
        <v>1160</v>
      </c>
      <c r="X250" s="41">
        <v>500</v>
      </c>
      <c r="Y250" s="41">
        <f t="shared" si="231"/>
        <v>-660</v>
      </c>
      <c r="Z250" s="1">
        <f t="shared" si="261"/>
        <v>500</v>
      </c>
      <c r="AA250" s="41">
        <v>500</v>
      </c>
      <c r="AB250" s="1">
        <f t="shared" si="232"/>
        <v>0</v>
      </c>
      <c r="AC250" s="1">
        <f t="shared" si="262"/>
        <v>500</v>
      </c>
      <c r="AD250" s="41">
        <v>500</v>
      </c>
      <c r="AE250" s="1">
        <f t="shared" si="263"/>
        <v>0</v>
      </c>
      <c r="AF250" s="1">
        <f t="shared" si="264"/>
        <v>500</v>
      </c>
    </row>
    <row r="251" spans="1:32" s="2" customFormat="1" outlineLevel="1">
      <c r="A251" s="13">
        <v>17100</v>
      </c>
      <c r="B251" s="11">
        <v>23120</v>
      </c>
      <c r="C251" s="11" t="s">
        <v>401</v>
      </c>
      <c r="D251" s="7">
        <v>480.8</v>
      </c>
      <c r="E251" s="7"/>
      <c r="F251" s="7">
        <f t="shared" si="269"/>
        <v>480.8</v>
      </c>
      <c r="G251" s="7"/>
      <c r="H251" s="7">
        <f t="shared" si="252"/>
        <v>480.8</v>
      </c>
      <c r="I251" s="1"/>
      <c r="J251" s="1">
        <f t="shared" si="195"/>
        <v>480.8</v>
      </c>
      <c r="K251" s="1"/>
      <c r="L251" s="1">
        <f t="shared" si="253"/>
        <v>480.8</v>
      </c>
      <c r="M251" s="8"/>
      <c r="N251" s="1">
        <f t="shared" si="254"/>
        <v>480.8</v>
      </c>
      <c r="O251" s="1"/>
      <c r="P251" s="3"/>
      <c r="Q251" s="1">
        <f t="shared" si="256"/>
        <v>480.8</v>
      </c>
      <c r="R251" s="3"/>
      <c r="S251" s="3"/>
      <c r="T251" s="1">
        <f t="shared" si="258"/>
        <v>480.8</v>
      </c>
      <c r="U251" s="1">
        <f t="shared" si="258"/>
        <v>480.8</v>
      </c>
      <c r="V251" s="1">
        <f t="shared" si="259"/>
        <v>0</v>
      </c>
      <c r="W251" s="1">
        <f t="shared" si="260"/>
        <v>480.8</v>
      </c>
      <c r="X251" s="41">
        <v>500</v>
      </c>
      <c r="Y251" s="41">
        <f t="shared" si="231"/>
        <v>19.199999999999989</v>
      </c>
      <c r="Z251" s="1">
        <f t="shared" si="261"/>
        <v>500</v>
      </c>
      <c r="AA251" s="41">
        <v>500</v>
      </c>
      <c r="AB251" s="1">
        <f t="shared" si="232"/>
        <v>0</v>
      </c>
      <c r="AC251" s="1">
        <f t="shared" si="262"/>
        <v>500</v>
      </c>
      <c r="AD251" s="41">
        <v>500</v>
      </c>
      <c r="AE251" s="1">
        <f t="shared" si="263"/>
        <v>0</v>
      </c>
      <c r="AF251" s="1">
        <f t="shared" si="264"/>
        <v>500</v>
      </c>
    </row>
    <row r="252" spans="1:32" s="2" customFormat="1" outlineLevel="1">
      <c r="A252" s="42">
        <v>17100</v>
      </c>
      <c r="B252" s="11">
        <v>60900</v>
      </c>
      <c r="C252" s="39" t="s">
        <v>787</v>
      </c>
      <c r="D252" s="7"/>
      <c r="E252" s="7"/>
      <c r="F252" s="7"/>
      <c r="G252" s="7"/>
      <c r="H252" s="7"/>
      <c r="I252" s="1"/>
      <c r="J252" s="1"/>
      <c r="K252" s="1"/>
      <c r="L252" s="1"/>
      <c r="M252" s="8"/>
      <c r="N252" s="1"/>
      <c r="O252" s="1"/>
      <c r="P252" s="3"/>
      <c r="Q252" s="1"/>
      <c r="R252" s="3"/>
      <c r="S252" s="3"/>
      <c r="T252" s="1"/>
      <c r="U252" s="1"/>
      <c r="V252" s="1"/>
      <c r="W252" s="1">
        <v>0</v>
      </c>
      <c r="X252" s="41">
        <v>41100</v>
      </c>
      <c r="Y252" s="41">
        <f t="shared" ref="Y252" si="272">X252-W252</f>
        <v>41100</v>
      </c>
      <c r="Z252" s="1">
        <f t="shared" si="261"/>
        <v>41100</v>
      </c>
      <c r="AA252" s="41">
        <v>60000</v>
      </c>
      <c r="AB252" s="1">
        <f t="shared" si="232"/>
        <v>18900</v>
      </c>
      <c r="AC252" s="1">
        <f t="shared" si="262"/>
        <v>60000</v>
      </c>
      <c r="AD252" s="41">
        <v>10000</v>
      </c>
      <c r="AE252" s="1">
        <f t="shared" si="263"/>
        <v>-50000</v>
      </c>
      <c r="AF252" s="1">
        <f t="shared" si="264"/>
        <v>10000</v>
      </c>
    </row>
    <row r="253" spans="1:32" s="2" customFormat="1" outlineLevel="1">
      <c r="A253" s="42">
        <v>17100</v>
      </c>
      <c r="B253" s="11">
        <v>62400</v>
      </c>
      <c r="C253" s="39" t="s">
        <v>827</v>
      </c>
      <c r="D253" s="7"/>
      <c r="E253" s="7"/>
      <c r="F253" s="7"/>
      <c r="G253" s="7"/>
      <c r="H253" s="7"/>
      <c r="I253" s="1"/>
      <c r="J253" s="1"/>
      <c r="K253" s="1"/>
      <c r="L253" s="1"/>
      <c r="M253" s="8"/>
      <c r="N253" s="1"/>
      <c r="O253" s="1"/>
      <c r="P253" s="3"/>
      <c r="Q253" s="1"/>
      <c r="R253" s="3"/>
      <c r="S253" s="3"/>
      <c r="T253" s="1"/>
      <c r="U253" s="1"/>
      <c r="V253" s="1"/>
      <c r="W253" s="1"/>
      <c r="X253" s="41"/>
      <c r="Y253" s="41"/>
      <c r="Z253" s="1">
        <v>0</v>
      </c>
      <c r="AA253" s="41">
        <f>5203+5203</f>
        <v>10406</v>
      </c>
      <c r="AB253" s="1">
        <f t="shared" ref="AB253" si="273">AA253-Z253</f>
        <v>10406</v>
      </c>
      <c r="AC253" s="1">
        <f t="shared" ref="AC253" si="274">Z253+AB253</f>
        <v>10406</v>
      </c>
      <c r="AD253" s="41">
        <v>0</v>
      </c>
      <c r="AE253" s="1">
        <f t="shared" si="263"/>
        <v>-10406</v>
      </c>
      <c r="AF253" s="1">
        <f t="shared" si="264"/>
        <v>0</v>
      </c>
    </row>
    <row r="254" spans="1:32" s="2" customFormat="1" outlineLevel="1">
      <c r="A254" s="9" t="s">
        <v>10</v>
      </c>
      <c r="B254" s="9"/>
      <c r="C254" s="9" t="s">
        <v>37</v>
      </c>
      <c r="D254" s="8">
        <f t="shared" ref="D254:Q254" si="275">SUBTOTAL(9,D225:D251)</f>
        <v>354017.94</v>
      </c>
      <c r="E254" s="8">
        <f t="shared" si="275"/>
        <v>410838.37</v>
      </c>
      <c r="F254" s="8">
        <f t="shared" si="275"/>
        <v>-56820.430000000008</v>
      </c>
      <c r="G254" s="8">
        <f t="shared" si="275"/>
        <v>201581.23</v>
      </c>
      <c r="H254" s="8">
        <f t="shared" si="275"/>
        <v>555599.17000000004</v>
      </c>
      <c r="I254" s="8">
        <f t="shared" si="275"/>
        <v>681221.69</v>
      </c>
      <c r="J254" s="8">
        <f t="shared" si="275"/>
        <v>-125622.52</v>
      </c>
      <c r="K254" s="8">
        <f t="shared" si="275"/>
        <v>180383.32</v>
      </c>
      <c r="L254" s="8">
        <f t="shared" si="275"/>
        <v>735982.49</v>
      </c>
      <c r="M254" s="8">
        <f t="shared" si="275"/>
        <v>-74460.410000000033</v>
      </c>
      <c r="N254" s="8">
        <f t="shared" si="275"/>
        <v>661522.08000000007</v>
      </c>
      <c r="O254" s="8">
        <f t="shared" si="275"/>
        <v>454752.08999999997</v>
      </c>
      <c r="P254" s="8">
        <f t="shared" si="275"/>
        <v>53590.81</v>
      </c>
      <c r="Q254" s="8">
        <f t="shared" si="275"/>
        <v>715112.89</v>
      </c>
      <c r="R254" s="3"/>
      <c r="S254" s="8">
        <f>SUBTOTAL(9,S225:S251)</f>
        <v>16744.710000000021</v>
      </c>
      <c r="T254" s="8">
        <f>SUBTOTAL(9,T225:T251)</f>
        <v>731857.60000000009</v>
      </c>
      <c r="U254" s="8">
        <f t="shared" ref="U254:V254" si="276">SUBTOTAL(9,U225:U251)</f>
        <v>776273.22000000009</v>
      </c>
      <c r="V254" s="8">
        <f t="shared" si="276"/>
        <v>44415.62</v>
      </c>
      <c r="W254" s="8">
        <f>SUBTOTAL(9,W225:W252)</f>
        <v>776273.22000000009</v>
      </c>
      <c r="X254" s="8">
        <f t="shared" ref="X254:Y254" si="277">SUBTOTAL(9,X225:X252)</f>
        <v>879354.73</v>
      </c>
      <c r="Y254" s="8">
        <f t="shared" si="277"/>
        <v>103081.51000000001</v>
      </c>
      <c r="Z254" s="8">
        <f>SUBTOTAL(9,Z225:Z253)</f>
        <v>879354.73</v>
      </c>
      <c r="AA254" s="8">
        <f t="shared" ref="AA254:AB254" si="278">SUBTOTAL(9,AA225:AA253)</f>
        <v>897031.79</v>
      </c>
      <c r="AB254" s="8">
        <f t="shared" si="278"/>
        <v>17677.059999999979</v>
      </c>
      <c r="AC254" s="8">
        <f>SUBTOTAL(9,AC225:AC253)</f>
        <v>897031.79</v>
      </c>
      <c r="AD254" s="8">
        <f t="shared" ref="AD254:AF254" si="279">SUBTOTAL(9,AD225:AD253)</f>
        <v>1116132.5899999999</v>
      </c>
      <c r="AE254" s="8">
        <f t="shared" si="279"/>
        <v>219100.79999999999</v>
      </c>
      <c r="AF254" s="8">
        <f t="shared" si="279"/>
        <v>1116132.5899999999</v>
      </c>
    </row>
    <row r="255" spans="1:32" s="2" customFormat="1" outlineLevel="1">
      <c r="A255" s="42">
        <v>22100</v>
      </c>
      <c r="B255" s="52">
        <v>16204</v>
      </c>
      <c r="C255" s="52" t="s">
        <v>728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3"/>
      <c r="S255" s="8"/>
      <c r="T255" s="47">
        <v>0</v>
      </c>
      <c r="U255" s="47">
        <v>90000</v>
      </c>
      <c r="V255" s="1">
        <f t="shared" si="259"/>
        <v>90000</v>
      </c>
      <c r="W255" s="1">
        <f t="shared" si="260"/>
        <v>90000</v>
      </c>
      <c r="X255" s="41">
        <v>90000</v>
      </c>
      <c r="Y255" s="41">
        <f t="shared" si="231"/>
        <v>0</v>
      </c>
      <c r="Z255" s="1">
        <f>W255+Y255</f>
        <v>90000</v>
      </c>
      <c r="AA255" s="41">
        <v>90000</v>
      </c>
      <c r="AB255" s="1">
        <f t="shared" si="232"/>
        <v>0</v>
      </c>
      <c r="AC255" s="1">
        <f t="shared" ref="AC255" si="280">Z255+AB255</f>
        <v>90000</v>
      </c>
      <c r="AD255" s="41">
        <v>0</v>
      </c>
      <c r="AE255" s="1">
        <f t="shared" ref="AE255" si="281">AD255-AC255</f>
        <v>-90000</v>
      </c>
      <c r="AF255" s="1">
        <f t="shared" ref="AF255" si="282">AC255+AE255</f>
        <v>0</v>
      </c>
    </row>
    <row r="256" spans="1:32" s="2" customFormat="1" outlineLevel="1">
      <c r="A256" s="9" t="s">
        <v>729</v>
      </c>
      <c r="B256" s="9"/>
      <c r="C256" s="9" t="s">
        <v>730</v>
      </c>
      <c r="D256" s="8">
        <f t="shared" ref="D256:Q256" si="283">SUBTOTAL(9,D227:D255)</f>
        <v>354017.94</v>
      </c>
      <c r="E256" s="8">
        <f t="shared" si="283"/>
        <v>353394.9</v>
      </c>
      <c r="F256" s="8">
        <f t="shared" si="283"/>
        <v>623.03999999999064</v>
      </c>
      <c r="G256" s="8">
        <f t="shared" si="283"/>
        <v>144137.76</v>
      </c>
      <c r="H256" s="8">
        <f t="shared" si="283"/>
        <v>498155.7</v>
      </c>
      <c r="I256" s="8">
        <f t="shared" si="283"/>
        <v>634800.85</v>
      </c>
      <c r="J256" s="8">
        <f t="shared" si="283"/>
        <v>-136645.15000000002</v>
      </c>
      <c r="K256" s="8">
        <f t="shared" si="283"/>
        <v>191405.95</v>
      </c>
      <c r="L256" s="8">
        <f t="shared" si="283"/>
        <v>689561.65000000014</v>
      </c>
      <c r="M256" s="8">
        <f t="shared" si="283"/>
        <v>-75909.650000000023</v>
      </c>
      <c r="N256" s="8">
        <f t="shared" si="283"/>
        <v>613652</v>
      </c>
      <c r="O256" s="8">
        <f t="shared" si="283"/>
        <v>406882.01</v>
      </c>
      <c r="P256" s="8">
        <f t="shared" si="283"/>
        <v>53590.81</v>
      </c>
      <c r="Q256" s="8">
        <f t="shared" si="283"/>
        <v>667242.81000000006</v>
      </c>
      <c r="R256" s="3"/>
      <c r="S256" s="8">
        <f>SUBTOTAL(9,S227:S255)</f>
        <v>9815.3699999999953</v>
      </c>
      <c r="T256" s="8">
        <f>SUBTOTAL(9,T255)</f>
        <v>0</v>
      </c>
      <c r="U256" s="8">
        <f t="shared" ref="U256:AF256" si="284">SUBTOTAL(9,U255)</f>
        <v>90000</v>
      </c>
      <c r="V256" s="8">
        <f t="shared" si="284"/>
        <v>90000</v>
      </c>
      <c r="W256" s="8">
        <f t="shared" si="284"/>
        <v>90000</v>
      </c>
      <c r="X256" s="8">
        <f t="shared" si="284"/>
        <v>90000</v>
      </c>
      <c r="Y256" s="8">
        <f t="shared" si="284"/>
        <v>0</v>
      </c>
      <c r="Z256" s="8">
        <f t="shared" si="284"/>
        <v>90000</v>
      </c>
      <c r="AA256" s="8">
        <f t="shared" si="284"/>
        <v>90000</v>
      </c>
      <c r="AB256" s="8">
        <f t="shared" si="284"/>
        <v>0</v>
      </c>
      <c r="AC256" s="8">
        <f t="shared" si="284"/>
        <v>90000</v>
      </c>
      <c r="AD256" s="8">
        <f t="shared" si="284"/>
        <v>0</v>
      </c>
      <c r="AE256" s="8">
        <f t="shared" si="284"/>
        <v>-90000</v>
      </c>
      <c r="AF256" s="8">
        <f t="shared" si="284"/>
        <v>0</v>
      </c>
    </row>
    <row r="257" spans="1:32" s="2" customFormat="1" outlineLevel="1">
      <c r="A257" s="13">
        <v>23110</v>
      </c>
      <c r="B257" s="11">
        <v>12000</v>
      </c>
      <c r="C257" s="11" t="s">
        <v>106</v>
      </c>
      <c r="D257" s="8"/>
      <c r="E257" s="8"/>
      <c r="F257" s="8"/>
      <c r="G257" s="8"/>
      <c r="H257" s="8"/>
      <c r="I257" s="8"/>
      <c r="J257" s="8"/>
      <c r="K257" s="8"/>
      <c r="L257" s="10">
        <v>18626.009999999998</v>
      </c>
      <c r="M257" s="10">
        <f>14677.32-L257</f>
        <v>-3948.6899999999987</v>
      </c>
      <c r="N257" s="7">
        <f t="shared" si="254"/>
        <v>14677.32</v>
      </c>
      <c r="O257" s="7">
        <v>10064.24</v>
      </c>
      <c r="P257" s="1">
        <f t="shared" ref="P257:P266" si="285">O257-N257</f>
        <v>-4613.08</v>
      </c>
      <c r="Q257" s="1">
        <f t="shared" ref="Q257:Q292" si="286">N257+P257</f>
        <v>10064.24</v>
      </c>
      <c r="R257" s="41">
        <v>14677.32</v>
      </c>
      <c r="S257" s="1">
        <f t="shared" ref="S257:S269" si="287">R257-Q257</f>
        <v>4613.08</v>
      </c>
      <c r="T257" s="1">
        <f t="shared" ref="T257:U292" si="288">Q257+S257</f>
        <v>14677.32</v>
      </c>
      <c r="U257" s="41">
        <v>14677.32</v>
      </c>
      <c r="V257" s="1">
        <f t="shared" ref="V257:V292" si="289">U257-T257</f>
        <v>0</v>
      </c>
      <c r="W257" s="1">
        <f t="shared" ref="W257:W292" si="290">T257+V257</f>
        <v>14677.32</v>
      </c>
      <c r="X257" s="41">
        <v>15716.95</v>
      </c>
      <c r="Y257" s="41">
        <f t="shared" si="231"/>
        <v>1039.630000000001</v>
      </c>
      <c r="Z257" s="1">
        <f t="shared" ref="Z257:Z292" si="291">W257+Y257</f>
        <v>15716.95</v>
      </c>
      <c r="AA257" s="41">
        <v>14972.45</v>
      </c>
      <c r="AB257" s="41">
        <f>AA257-Z257</f>
        <v>-744.5</v>
      </c>
      <c r="AC257" s="1">
        <f t="shared" ref="AC257:AC292" si="292">Z257+AB257</f>
        <v>14972.45</v>
      </c>
      <c r="AD257" s="41">
        <v>15197.15</v>
      </c>
      <c r="AE257" s="1">
        <f t="shared" ref="AE257:AE294" si="293">AD257-AC257</f>
        <v>224.69999999999891</v>
      </c>
      <c r="AF257" s="1">
        <f t="shared" ref="AF257:AF294" si="294">AC257+AE257</f>
        <v>15197.15</v>
      </c>
    </row>
    <row r="258" spans="1:32" s="2" customFormat="1" outlineLevel="1">
      <c r="A258" s="13">
        <v>23110</v>
      </c>
      <c r="B258" s="11">
        <v>12001</v>
      </c>
      <c r="C258" s="11" t="s">
        <v>107</v>
      </c>
      <c r="D258" s="8"/>
      <c r="E258" s="8"/>
      <c r="F258" s="8"/>
      <c r="G258" s="8"/>
      <c r="H258" s="8"/>
      <c r="I258" s="8"/>
      <c r="J258" s="8"/>
      <c r="K258" s="8"/>
      <c r="L258" s="10">
        <v>137669.54</v>
      </c>
      <c r="M258" s="10">
        <f>116158.68-L258</f>
        <v>-21510.860000000015</v>
      </c>
      <c r="N258" s="7">
        <f t="shared" si="254"/>
        <v>116158.68</v>
      </c>
      <c r="O258" s="7">
        <v>129065.2</v>
      </c>
      <c r="P258" s="1">
        <f t="shared" si="285"/>
        <v>12906.520000000004</v>
      </c>
      <c r="Q258" s="1">
        <f t="shared" si="286"/>
        <v>129065.2</v>
      </c>
      <c r="R258" s="41">
        <v>116158.68</v>
      </c>
      <c r="S258" s="1">
        <f t="shared" si="287"/>
        <v>-12906.520000000004</v>
      </c>
      <c r="T258" s="1">
        <f t="shared" si="288"/>
        <v>116158.68</v>
      </c>
      <c r="U258" s="41">
        <v>116158.68</v>
      </c>
      <c r="V258" s="1">
        <f t="shared" si="289"/>
        <v>0</v>
      </c>
      <c r="W258" s="1">
        <f t="shared" si="290"/>
        <v>116158.68</v>
      </c>
      <c r="X258" s="41">
        <v>126586.72</v>
      </c>
      <c r="Y258" s="41">
        <f t="shared" si="231"/>
        <v>10428.040000000008</v>
      </c>
      <c r="Z258" s="1">
        <f t="shared" si="291"/>
        <v>126586.72</v>
      </c>
      <c r="AA258" s="41">
        <v>133086.43</v>
      </c>
      <c r="AB258" s="41">
        <f t="shared" ref="AB258:AB292" si="295">AA258-Z258</f>
        <v>6499.7099999999919</v>
      </c>
      <c r="AC258" s="1">
        <f t="shared" si="292"/>
        <v>133086.43</v>
      </c>
      <c r="AD258" s="41">
        <v>146998.44</v>
      </c>
      <c r="AE258" s="1">
        <f t="shared" si="293"/>
        <v>13912.010000000009</v>
      </c>
      <c r="AF258" s="1">
        <f t="shared" si="294"/>
        <v>146998.44</v>
      </c>
    </row>
    <row r="259" spans="1:32" s="2" customFormat="1" outlineLevel="1">
      <c r="A259" s="13">
        <v>23110</v>
      </c>
      <c r="B259" s="11">
        <v>12003</v>
      </c>
      <c r="C259" s="11" t="s">
        <v>512</v>
      </c>
      <c r="D259" s="8"/>
      <c r="E259" s="8"/>
      <c r="F259" s="8"/>
      <c r="G259" s="8"/>
      <c r="H259" s="8"/>
      <c r="I259" s="8"/>
      <c r="J259" s="8"/>
      <c r="K259" s="8"/>
      <c r="L259" s="10">
        <v>9884.84</v>
      </c>
      <c r="M259" s="10">
        <f>0</f>
        <v>0</v>
      </c>
      <c r="N259" s="7">
        <f t="shared" si="254"/>
        <v>9884.84</v>
      </c>
      <c r="O259" s="7">
        <v>9884.84</v>
      </c>
      <c r="P259" s="1">
        <f t="shared" si="285"/>
        <v>0</v>
      </c>
      <c r="Q259" s="1">
        <f t="shared" si="286"/>
        <v>9884.84</v>
      </c>
      <c r="R259" s="41">
        <v>19769.68</v>
      </c>
      <c r="S259" s="1">
        <f t="shared" si="287"/>
        <v>9884.84</v>
      </c>
      <c r="T259" s="1">
        <f t="shared" si="288"/>
        <v>19769.68</v>
      </c>
      <c r="U259" s="41">
        <v>19769.68</v>
      </c>
      <c r="V259" s="1">
        <f t="shared" si="289"/>
        <v>0</v>
      </c>
      <c r="W259" s="1">
        <f t="shared" si="290"/>
        <v>19769.68</v>
      </c>
      <c r="X259" s="41">
        <v>11661.5</v>
      </c>
      <c r="Y259" s="41">
        <f t="shared" si="231"/>
        <v>-8108.18</v>
      </c>
      <c r="Z259" s="1">
        <f t="shared" si="291"/>
        <v>11661.5</v>
      </c>
      <c r="AA259" s="41">
        <v>10083.65</v>
      </c>
      <c r="AB259" s="41">
        <f t="shared" si="295"/>
        <v>-1577.8500000000004</v>
      </c>
      <c r="AC259" s="1">
        <f t="shared" si="292"/>
        <v>10083.65</v>
      </c>
      <c r="AD259" s="41">
        <v>20470.02</v>
      </c>
      <c r="AE259" s="1">
        <f t="shared" si="293"/>
        <v>10386.370000000001</v>
      </c>
      <c r="AF259" s="1">
        <f t="shared" si="294"/>
        <v>20470.02</v>
      </c>
    </row>
    <row r="260" spans="1:32" s="2" customFormat="1" outlineLevel="1">
      <c r="A260" s="13">
        <v>23110</v>
      </c>
      <c r="B260" s="11">
        <v>12004</v>
      </c>
      <c r="C260" s="11" t="s">
        <v>108</v>
      </c>
      <c r="D260" s="8"/>
      <c r="E260" s="8"/>
      <c r="F260" s="8"/>
      <c r="G260" s="8"/>
      <c r="H260" s="8"/>
      <c r="I260" s="8"/>
      <c r="J260" s="8"/>
      <c r="K260" s="8"/>
      <c r="L260" s="10">
        <v>16757.16</v>
      </c>
      <c r="M260" s="10">
        <v>0</v>
      </c>
      <c r="N260" s="7">
        <f t="shared" si="254"/>
        <v>16757.16</v>
      </c>
      <c r="O260" s="7">
        <v>16757.16</v>
      </c>
      <c r="P260" s="1">
        <f t="shared" si="285"/>
        <v>0</v>
      </c>
      <c r="Q260" s="1">
        <f t="shared" si="286"/>
        <v>16757.16</v>
      </c>
      <c r="R260" s="41">
        <v>25135.74</v>
      </c>
      <c r="S260" s="1">
        <f t="shared" si="287"/>
        <v>8378.5800000000017</v>
      </c>
      <c r="T260" s="1">
        <f t="shared" si="288"/>
        <v>25135.74</v>
      </c>
      <c r="U260" s="41">
        <v>33514.32</v>
      </c>
      <c r="V260" s="1">
        <f t="shared" si="289"/>
        <v>8378.5799999999981</v>
      </c>
      <c r="W260" s="1">
        <f t="shared" si="290"/>
        <v>33514.32</v>
      </c>
      <c r="X260" s="41">
        <v>19588.77</v>
      </c>
      <c r="Y260" s="41">
        <f t="shared" si="231"/>
        <v>-13925.55</v>
      </c>
      <c r="Z260" s="1">
        <f t="shared" si="291"/>
        <v>19588.77</v>
      </c>
      <c r="AA260" s="41">
        <v>17094.16</v>
      </c>
      <c r="AB260" s="41">
        <f t="shared" si="295"/>
        <v>-2494.6100000000006</v>
      </c>
      <c r="AC260" s="1">
        <f t="shared" si="292"/>
        <v>17094.16</v>
      </c>
      <c r="AD260" s="41">
        <v>26026.17</v>
      </c>
      <c r="AE260" s="1">
        <f t="shared" si="293"/>
        <v>8932.0099999999984</v>
      </c>
      <c r="AF260" s="1">
        <f t="shared" si="294"/>
        <v>26026.17</v>
      </c>
    </row>
    <row r="261" spans="1:32" s="2" customFormat="1" outlineLevel="1">
      <c r="A261" s="13">
        <v>23110</v>
      </c>
      <c r="B261" s="11">
        <v>12005</v>
      </c>
      <c r="C261" s="42" t="s">
        <v>680</v>
      </c>
      <c r="D261" s="8"/>
      <c r="E261" s="8"/>
      <c r="F261" s="8"/>
      <c r="G261" s="8"/>
      <c r="H261" s="8"/>
      <c r="I261" s="8"/>
      <c r="J261" s="8"/>
      <c r="K261" s="8"/>
      <c r="L261" s="10">
        <v>25135.74</v>
      </c>
      <c r="M261" s="10">
        <f>15357.16-L261</f>
        <v>-9778.5800000000017</v>
      </c>
      <c r="N261" s="7">
        <f t="shared" si="254"/>
        <v>15357.16</v>
      </c>
      <c r="O261" s="7">
        <v>15357.16</v>
      </c>
      <c r="P261" s="1">
        <f t="shared" si="285"/>
        <v>0</v>
      </c>
      <c r="Q261" s="1">
        <f t="shared" si="286"/>
        <v>15357.16</v>
      </c>
      <c r="R261" s="41">
        <v>46071.48</v>
      </c>
      <c r="S261" s="1">
        <f t="shared" si="287"/>
        <v>30714.320000000003</v>
      </c>
      <c r="T261" s="1">
        <f t="shared" si="288"/>
        <v>46071.48</v>
      </c>
      <c r="U261" s="41">
        <v>53750.06</v>
      </c>
      <c r="V261" s="1">
        <f t="shared" si="289"/>
        <v>7678.5799999999945</v>
      </c>
      <c r="W261" s="1">
        <f t="shared" si="290"/>
        <v>53750.06</v>
      </c>
      <c r="X261" s="41">
        <v>40040.269999999997</v>
      </c>
      <c r="Y261" s="41">
        <f t="shared" si="231"/>
        <v>-13709.79</v>
      </c>
      <c r="Z261" s="1">
        <f t="shared" si="291"/>
        <v>40040.269999999997</v>
      </c>
      <c r="AA261" s="41">
        <v>31331.96</v>
      </c>
      <c r="AB261" s="41">
        <f t="shared" si="295"/>
        <v>-8708.3099999999977</v>
      </c>
      <c r="AC261" s="1">
        <f t="shared" si="292"/>
        <v>31331.96</v>
      </c>
      <c r="AD261" s="41">
        <v>39752.449999999997</v>
      </c>
      <c r="AE261" s="1">
        <f t="shared" si="293"/>
        <v>8420.489999999998</v>
      </c>
      <c r="AF261" s="1">
        <f t="shared" si="294"/>
        <v>39752.449999999997</v>
      </c>
    </row>
    <row r="262" spans="1:32" s="2" customFormat="1" outlineLevel="1">
      <c r="A262" s="13">
        <v>23110</v>
      </c>
      <c r="B262" s="11">
        <v>12006</v>
      </c>
      <c r="C262" s="11" t="s">
        <v>81</v>
      </c>
      <c r="D262" s="8"/>
      <c r="E262" s="8"/>
      <c r="F262" s="8"/>
      <c r="G262" s="8"/>
      <c r="H262" s="8"/>
      <c r="I262" s="8"/>
      <c r="J262" s="8"/>
      <c r="K262" s="8"/>
      <c r="L262" s="10">
        <v>23514.61</v>
      </c>
      <c r="M262" s="10">
        <f>26609.73-L262</f>
        <v>3095.119999999999</v>
      </c>
      <c r="N262" s="7">
        <f t="shared" si="254"/>
        <v>26609.73</v>
      </c>
      <c r="O262" s="7">
        <v>27398.53</v>
      </c>
      <c r="P262" s="1">
        <f t="shared" si="285"/>
        <v>788.79999999999927</v>
      </c>
      <c r="Q262" s="1">
        <f t="shared" si="286"/>
        <v>27398.53</v>
      </c>
      <c r="R262" s="41">
        <v>33396.11</v>
      </c>
      <c r="S262" s="1">
        <f t="shared" si="287"/>
        <v>5997.5800000000017</v>
      </c>
      <c r="T262" s="1">
        <f t="shared" si="288"/>
        <v>33396.11</v>
      </c>
      <c r="U262" s="41">
        <v>33073.620000000003</v>
      </c>
      <c r="V262" s="1">
        <f t="shared" si="289"/>
        <v>-322.48999999999796</v>
      </c>
      <c r="W262" s="1">
        <f t="shared" si="290"/>
        <v>33073.620000000003</v>
      </c>
      <c r="X262" s="41">
        <v>31468.6</v>
      </c>
      <c r="Y262" s="41">
        <f t="shared" si="231"/>
        <v>-1605.0200000000041</v>
      </c>
      <c r="Z262" s="1">
        <f t="shared" si="291"/>
        <v>31468.6</v>
      </c>
      <c r="AA262" s="41">
        <v>31555.96</v>
      </c>
      <c r="AB262" s="41">
        <f t="shared" si="295"/>
        <v>87.360000000000582</v>
      </c>
      <c r="AC262" s="1">
        <f t="shared" si="292"/>
        <v>31555.96</v>
      </c>
      <c r="AD262" s="41">
        <v>37182.559999999998</v>
      </c>
      <c r="AE262" s="1">
        <f t="shared" si="293"/>
        <v>5626.5999999999985</v>
      </c>
      <c r="AF262" s="1">
        <f t="shared" si="294"/>
        <v>37182.559999999998</v>
      </c>
    </row>
    <row r="263" spans="1:32" s="2" customFormat="1" outlineLevel="1">
      <c r="A263" s="13">
        <v>23110</v>
      </c>
      <c r="B263" s="11">
        <v>12100</v>
      </c>
      <c r="C263" s="11" t="s">
        <v>109</v>
      </c>
      <c r="D263" s="8"/>
      <c r="E263" s="8"/>
      <c r="F263" s="8"/>
      <c r="G263" s="8"/>
      <c r="H263" s="8"/>
      <c r="I263" s="8"/>
      <c r="J263" s="8"/>
      <c r="K263" s="8"/>
      <c r="L263" s="10">
        <v>114589</v>
      </c>
      <c r="M263" s="10">
        <f>102785.34-L263</f>
        <v>-11803.660000000003</v>
      </c>
      <c r="N263" s="7">
        <f t="shared" si="254"/>
        <v>102785.34</v>
      </c>
      <c r="O263" s="7">
        <v>107358.14</v>
      </c>
      <c r="P263" s="1">
        <f t="shared" si="285"/>
        <v>4572.8000000000029</v>
      </c>
      <c r="Q263" s="1">
        <f t="shared" si="286"/>
        <v>107358.14</v>
      </c>
      <c r="R263" s="41">
        <v>123576.88</v>
      </c>
      <c r="S263" s="1">
        <f t="shared" si="287"/>
        <v>16218.740000000005</v>
      </c>
      <c r="T263" s="1">
        <f t="shared" si="288"/>
        <v>123576.88</v>
      </c>
      <c r="U263" s="41">
        <v>132116.46</v>
      </c>
      <c r="V263" s="1">
        <f t="shared" si="289"/>
        <v>8539.5799999999872</v>
      </c>
      <c r="W263" s="1">
        <f t="shared" si="290"/>
        <v>132116.46</v>
      </c>
      <c r="X263" s="41">
        <v>110605.34</v>
      </c>
      <c r="Y263" s="41">
        <f t="shared" si="231"/>
        <v>-21511.119999999995</v>
      </c>
      <c r="Z263" s="1">
        <f t="shared" si="291"/>
        <v>110605.34</v>
      </c>
      <c r="AA263" s="41">
        <v>114958.45</v>
      </c>
      <c r="AB263" s="41">
        <f t="shared" si="295"/>
        <v>4353.1100000000006</v>
      </c>
      <c r="AC263" s="1">
        <f t="shared" si="292"/>
        <v>114958.45</v>
      </c>
      <c r="AD263" s="41">
        <v>138639.34</v>
      </c>
      <c r="AE263" s="1">
        <f t="shared" si="293"/>
        <v>23680.89</v>
      </c>
      <c r="AF263" s="1">
        <f t="shared" si="294"/>
        <v>138639.34</v>
      </c>
    </row>
    <row r="264" spans="1:32" s="2" customFormat="1" outlineLevel="1">
      <c r="A264" s="13">
        <v>23110</v>
      </c>
      <c r="B264" s="11">
        <v>12101</v>
      </c>
      <c r="C264" s="11" t="s">
        <v>110</v>
      </c>
      <c r="D264" s="8"/>
      <c r="E264" s="8"/>
      <c r="F264" s="8"/>
      <c r="G264" s="8"/>
      <c r="H264" s="8"/>
      <c r="I264" s="8"/>
      <c r="J264" s="8"/>
      <c r="K264" s="8"/>
      <c r="L264" s="10">
        <v>144715.56</v>
      </c>
      <c r="M264" s="10">
        <f>108360.14-L264</f>
        <v>-36355.42</v>
      </c>
      <c r="N264" s="7">
        <f t="shared" si="254"/>
        <v>108360.14</v>
      </c>
      <c r="O264" s="7">
        <v>124175.17</v>
      </c>
      <c r="P264" s="1">
        <f t="shared" si="285"/>
        <v>15815.029999999999</v>
      </c>
      <c r="Q264" s="1">
        <f t="shared" si="286"/>
        <v>124175.17</v>
      </c>
      <c r="R264" s="41">
        <v>158076.24</v>
      </c>
      <c r="S264" s="1">
        <f t="shared" si="287"/>
        <v>33901.069999999992</v>
      </c>
      <c r="T264" s="1">
        <f t="shared" si="288"/>
        <v>158076.24</v>
      </c>
      <c r="U264" s="41">
        <v>168774.48</v>
      </c>
      <c r="V264" s="1">
        <f t="shared" si="289"/>
        <v>10698.24000000002</v>
      </c>
      <c r="W264" s="1">
        <f t="shared" si="290"/>
        <v>168774.48</v>
      </c>
      <c r="X264" s="41">
        <v>140676.45000000001</v>
      </c>
      <c r="Y264" s="41">
        <f t="shared" si="231"/>
        <v>-28098.03</v>
      </c>
      <c r="Z264" s="1">
        <f t="shared" si="291"/>
        <v>140676.45000000001</v>
      </c>
      <c r="AA264" s="41">
        <v>145648.85999999999</v>
      </c>
      <c r="AB264" s="41">
        <f t="shared" si="295"/>
        <v>4972.4099999999744</v>
      </c>
      <c r="AC264" s="1">
        <f t="shared" si="292"/>
        <v>145648.85999999999</v>
      </c>
      <c r="AD264" s="41">
        <v>176234.25</v>
      </c>
      <c r="AE264" s="1">
        <f t="shared" si="293"/>
        <v>30585.390000000014</v>
      </c>
      <c r="AF264" s="1">
        <f t="shared" si="294"/>
        <v>176234.25</v>
      </c>
    </row>
    <row r="265" spans="1:32" s="2" customFormat="1" outlineLevel="1">
      <c r="A265" s="13">
        <v>23110</v>
      </c>
      <c r="B265" s="11">
        <v>13000</v>
      </c>
      <c r="C265" s="11" t="s">
        <v>317</v>
      </c>
      <c r="D265" s="8"/>
      <c r="E265" s="8"/>
      <c r="F265" s="8"/>
      <c r="G265" s="8"/>
      <c r="H265" s="8"/>
      <c r="I265" s="8"/>
      <c r="J265" s="8"/>
      <c r="K265" s="8"/>
      <c r="L265" s="10">
        <v>36175.160000000003</v>
      </c>
      <c r="M265" s="10">
        <f>38787.61-L265</f>
        <v>2612.4499999999971</v>
      </c>
      <c r="N265" s="7">
        <f t="shared" si="254"/>
        <v>38787.61</v>
      </c>
      <c r="O265" s="7">
        <v>38756.370000000003</v>
      </c>
      <c r="P265" s="1">
        <f t="shared" si="285"/>
        <v>-31.239999999997963</v>
      </c>
      <c r="Q265" s="1">
        <f t="shared" si="286"/>
        <v>38756.370000000003</v>
      </c>
      <c r="R265" s="41">
        <v>20014.96</v>
      </c>
      <c r="S265" s="1">
        <f t="shared" si="287"/>
        <v>-18741.410000000003</v>
      </c>
      <c r="T265" s="1">
        <f t="shared" si="288"/>
        <v>20014.96</v>
      </c>
      <c r="U265" s="41">
        <v>11636.38</v>
      </c>
      <c r="V265" s="1">
        <f t="shared" si="289"/>
        <v>-8378.58</v>
      </c>
      <c r="W265" s="1">
        <f t="shared" si="290"/>
        <v>11636.38</v>
      </c>
      <c r="X265" s="41">
        <v>16174.85</v>
      </c>
      <c r="Y265" s="41">
        <f t="shared" si="231"/>
        <v>4538.4700000000012</v>
      </c>
      <c r="Z265" s="1">
        <f t="shared" si="291"/>
        <v>16174.85</v>
      </c>
      <c r="AA265" s="41">
        <v>11614.89</v>
      </c>
      <c r="AB265" s="41">
        <f t="shared" si="295"/>
        <v>-4559.9600000000009</v>
      </c>
      <c r="AC265" s="1">
        <f t="shared" si="292"/>
        <v>11614.89</v>
      </c>
      <c r="AD265" s="41">
        <v>12050.41</v>
      </c>
      <c r="AE265" s="1">
        <f t="shared" si="293"/>
        <v>435.52000000000044</v>
      </c>
      <c r="AF265" s="1">
        <f t="shared" si="294"/>
        <v>12050.41</v>
      </c>
    </row>
    <row r="266" spans="1:32" s="2" customFormat="1" outlineLevel="1">
      <c r="A266" s="13">
        <v>23110</v>
      </c>
      <c r="B266" s="11">
        <v>13002</v>
      </c>
      <c r="C266" s="11" t="s">
        <v>318</v>
      </c>
      <c r="D266" s="8"/>
      <c r="E266" s="8"/>
      <c r="F266" s="8"/>
      <c r="G266" s="8"/>
      <c r="H266" s="8"/>
      <c r="I266" s="8"/>
      <c r="J266" s="8"/>
      <c r="K266" s="8"/>
      <c r="L266" s="10">
        <v>38674.53</v>
      </c>
      <c r="M266" s="10">
        <f>39343.92-L266</f>
        <v>669.38999999999942</v>
      </c>
      <c r="N266" s="7">
        <f t="shared" si="254"/>
        <v>39343.919999999998</v>
      </c>
      <c r="O266" s="7">
        <v>39343.919999999998</v>
      </c>
      <c r="P266" s="1">
        <f t="shared" si="285"/>
        <v>0</v>
      </c>
      <c r="Q266" s="1">
        <f t="shared" si="286"/>
        <v>39343.919999999998</v>
      </c>
      <c r="R266" s="41">
        <v>21879.9</v>
      </c>
      <c r="S266" s="1">
        <f t="shared" si="287"/>
        <v>-17464.019999999997</v>
      </c>
      <c r="T266" s="1">
        <f t="shared" si="288"/>
        <v>21879.9</v>
      </c>
      <c r="U266" s="41">
        <v>11738.86</v>
      </c>
      <c r="V266" s="1">
        <f t="shared" si="289"/>
        <v>-10141.040000000001</v>
      </c>
      <c r="W266" s="1">
        <f t="shared" si="290"/>
        <v>11738.86</v>
      </c>
      <c r="X266" s="41">
        <v>11856.25</v>
      </c>
      <c r="Y266" s="41">
        <f t="shared" si="231"/>
        <v>117.38999999999942</v>
      </c>
      <c r="Z266" s="1">
        <f t="shared" si="291"/>
        <v>11856.25</v>
      </c>
      <c r="AA266" s="41">
        <v>11974.88</v>
      </c>
      <c r="AB266" s="41">
        <f t="shared" si="295"/>
        <v>118.6299999999992</v>
      </c>
      <c r="AC266" s="1">
        <f t="shared" si="292"/>
        <v>11974.88</v>
      </c>
      <c r="AD266" s="41">
        <v>12154.53</v>
      </c>
      <c r="AE266" s="1">
        <f t="shared" si="293"/>
        <v>179.65000000000146</v>
      </c>
      <c r="AF266" s="1">
        <f t="shared" si="294"/>
        <v>12154.53</v>
      </c>
    </row>
    <row r="267" spans="1:32" s="2" customFormat="1" outlineLevel="1">
      <c r="A267" s="13">
        <v>23110</v>
      </c>
      <c r="B267" s="19">
        <v>13100</v>
      </c>
      <c r="C267" s="42" t="s">
        <v>799</v>
      </c>
      <c r="D267" s="8"/>
      <c r="E267" s="8"/>
      <c r="F267" s="8"/>
      <c r="G267" s="8"/>
      <c r="H267" s="8"/>
      <c r="I267" s="8"/>
      <c r="J267" s="8"/>
      <c r="K267" s="8"/>
      <c r="L267" s="10"/>
      <c r="M267" s="10"/>
      <c r="N267" s="7"/>
      <c r="O267" s="7"/>
      <c r="P267" s="1"/>
      <c r="Q267" s="1"/>
      <c r="R267" s="41"/>
      <c r="S267" s="1"/>
      <c r="T267" s="1"/>
      <c r="U267" s="41"/>
      <c r="V267" s="1"/>
      <c r="W267" s="1">
        <v>0</v>
      </c>
      <c r="X267" s="41">
        <v>5343.44</v>
      </c>
      <c r="Y267" s="41">
        <f t="shared" ref="Y267:Y268" si="296">X267-W267</f>
        <v>5343.44</v>
      </c>
      <c r="Z267" s="1">
        <f t="shared" ref="Z267:Z268" si="297">W267+Y267</f>
        <v>5343.44</v>
      </c>
      <c r="AA267" s="41">
        <v>0</v>
      </c>
      <c r="AB267" s="41">
        <f t="shared" si="295"/>
        <v>-5343.44</v>
      </c>
      <c r="AC267" s="1">
        <f t="shared" si="292"/>
        <v>0</v>
      </c>
      <c r="AD267" s="41">
        <v>0</v>
      </c>
      <c r="AE267" s="1">
        <f t="shared" si="293"/>
        <v>0</v>
      </c>
      <c r="AF267" s="1">
        <f t="shared" si="294"/>
        <v>0</v>
      </c>
    </row>
    <row r="268" spans="1:32" s="2" customFormat="1" outlineLevel="1">
      <c r="A268" s="13">
        <v>23110</v>
      </c>
      <c r="B268" s="19">
        <v>13101</v>
      </c>
      <c r="C268" s="42" t="s">
        <v>800</v>
      </c>
      <c r="D268" s="8"/>
      <c r="E268" s="8"/>
      <c r="F268" s="8"/>
      <c r="G268" s="8"/>
      <c r="H268" s="8"/>
      <c r="I268" s="8"/>
      <c r="J268" s="8"/>
      <c r="K268" s="8"/>
      <c r="L268" s="10"/>
      <c r="M268" s="10"/>
      <c r="N268" s="7"/>
      <c r="O268" s="7"/>
      <c r="P268" s="1"/>
      <c r="Q268" s="1"/>
      <c r="R268" s="41"/>
      <c r="S268" s="1"/>
      <c r="T268" s="1"/>
      <c r="U268" s="41"/>
      <c r="V268" s="1"/>
      <c r="W268" s="1">
        <v>0</v>
      </c>
      <c r="X268" s="41">
        <v>6330.4</v>
      </c>
      <c r="Y268" s="41">
        <f t="shared" si="296"/>
        <v>6330.4</v>
      </c>
      <c r="Z268" s="1">
        <f t="shared" si="297"/>
        <v>6330.4</v>
      </c>
      <c r="AA268" s="41">
        <v>0</v>
      </c>
      <c r="AB268" s="41">
        <f t="shared" si="295"/>
        <v>-6330.4</v>
      </c>
      <c r="AC268" s="1">
        <f t="shared" si="292"/>
        <v>0</v>
      </c>
      <c r="AD268" s="41">
        <v>0</v>
      </c>
      <c r="AE268" s="1">
        <f t="shared" si="293"/>
        <v>0</v>
      </c>
      <c r="AF268" s="1">
        <f t="shared" si="294"/>
        <v>0</v>
      </c>
    </row>
    <row r="269" spans="1:32" s="2" customFormat="1" outlineLevel="1">
      <c r="A269" s="13">
        <v>23110</v>
      </c>
      <c r="B269" s="11">
        <v>15000</v>
      </c>
      <c r="C269" s="11" t="s">
        <v>387</v>
      </c>
      <c r="D269" s="8"/>
      <c r="E269" s="8"/>
      <c r="F269" s="8"/>
      <c r="G269" s="8"/>
      <c r="H269" s="8"/>
      <c r="I269" s="8"/>
      <c r="J269" s="8"/>
      <c r="K269" s="8"/>
      <c r="L269" s="10"/>
      <c r="M269" s="10"/>
      <c r="N269" s="7">
        <v>0</v>
      </c>
      <c r="O269" s="7">
        <v>9000</v>
      </c>
      <c r="P269" s="1">
        <f>O269-N269</f>
        <v>9000</v>
      </c>
      <c r="Q269" s="1">
        <f t="shared" si="286"/>
        <v>9000</v>
      </c>
      <c r="R269" s="41">
        <v>3000</v>
      </c>
      <c r="S269" s="1">
        <f t="shared" si="287"/>
        <v>-6000</v>
      </c>
      <c r="T269" s="1">
        <f t="shared" si="288"/>
        <v>3000</v>
      </c>
      <c r="U269" s="41">
        <v>3000</v>
      </c>
      <c r="V269" s="1">
        <f t="shared" si="289"/>
        <v>0</v>
      </c>
      <c r="W269" s="1">
        <f t="shared" si="290"/>
        <v>3000</v>
      </c>
      <c r="X269" s="41">
        <v>3000</v>
      </c>
      <c r="Y269" s="41">
        <f t="shared" si="231"/>
        <v>0</v>
      </c>
      <c r="Z269" s="1">
        <f t="shared" si="291"/>
        <v>3000</v>
      </c>
      <c r="AA269" s="41">
        <v>3600</v>
      </c>
      <c r="AB269" s="41">
        <f t="shared" si="295"/>
        <v>600</v>
      </c>
      <c r="AC269" s="1">
        <f t="shared" si="292"/>
        <v>3600</v>
      </c>
      <c r="AD269" s="41">
        <v>2000</v>
      </c>
      <c r="AE269" s="1">
        <f t="shared" si="293"/>
        <v>-1600</v>
      </c>
      <c r="AF269" s="1">
        <f t="shared" si="294"/>
        <v>2000</v>
      </c>
    </row>
    <row r="270" spans="1:32" s="2" customFormat="1" outlineLevel="1">
      <c r="A270" s="13">
        <v>23110</v>
      </c>
      <c r="B270" s="60">
        <v>16000</v>
      </c>
      <c r="C270" s="56" t="s">
        <v>747</v>
      </c>
      <c r="D270" s="62"/>
      <c r="E270" s="64"/>
      <c r="F270" s="62"/>
      <c r="G270" s="64"/>
      <c r="H270" s="62"/>
      <c r="I270" s="64"/>
      <c r="J270" s="62"/>
      <c r="K270" s="64"/>
      <c r="L270" s="62"/>
      <c r="M270" s="63"/>
      <c r="N270" s="53"/>
      <c r="O270" s="53"/>
      <c r="P270" s="53"/>
      <c r="Q270" s="53"/>
      <c r="R270" s="58"/>
      <c r="S270" s="53"/>
      <c r="T270" s="53">
        <f t="shared" si="288"/>
        <v>0</v>
      </c>
      <c r="U270" s="63"/>
      <c r="V270" s="53">
        <f t="shared" si="289"/>
        <v>0</v>
      </c>
      <c r="W270" s="53">
        <f t="shared" si="290"/>
        <v>0</v>
      </c>
      <c r="X270" s="41">
        <v>0</v>
      </c>
      <c r="Y270" s="41">
        <f t="shared" si="231"/>
        <v>0</v>
      </c>
      <c r="Z270" s="1">
        <f t="shared" si="291"/>
        <v>0</v>
      </c>
      <c r="AA270" s="41">
        <v>0</v>
      </c>
      <c r="AB270" s="41">
        <f t="shared" si="295"/>
        <v>0</v>
      </c>
      <c r="AC270" s="1">
        <f t="shared" si="292"/>
        <v>0</v>
      </c>
      <c r="AD270" s="41">
        <v>182737.69</v>
      </c>
      <c r="AE270" s="1">
        <f t="shared" si="293"/>
        <v>182737.69</v>
      </c>
      <c r="AF270" s="1">
        <f t="shared" si="294"/>
        <v>182737.69</v>
      </c>
    </row>
    <row r="271" spans="1:32" s="2" customFormat="1" outlineLevel="1">
      <c r="A271" s="13">
        <v>23110</v>
      </c>
      <c r="B271" s="11">
        <v>20300</v>
      </c>
      <c r="C271" s="11" t="s">
        <v>319</v>
      </c>
      <c r="D271" s="8"/>
      <c r="E271" s="8"/>
      <c r="F271" s="8"/>
      <c r="G271" s="8"/>
      <c r="H271" s="8"/>
      <c r="I271" s="8"/>
      <c r="J271" s="8"/>
      <c r="K271" s="8"/>
      <c r="L271" s="10">
        <v>500</v>
      </c>
      <c r="M271" s="10">
        <v>0</v>
      </c>
      <c r="N271" s="7">
        <f t="shared" si="254"/>
        <v>500</v>
      </c>
      <c r="O271" s="7"/>
      <c r="P271" s="3"/>
      <c r="Q271" s="1">
        <f t="shared" si="286"/>
        <v>500</v>
      </c>
      <c r="R271" s="3"/>
      <c r="S271" s="3"/>
      <c r="T271" s="1">
        <f t="shared" si="288"/>
        <v>500</v>
      </c>
      <c r="U271" s="1">
        <f t="shared" si="288"/>
        <v>500</v>
      </c>
      <c r="V271" s="1">
        <f t="shared" si="289"/>
        <v>0</v>
      </c>
      <c r="W271" s="1">
        <f t="shared" si="290"/>
        <v>500</v>
      </c>
      <c r="X271" s="41">
        <v>2500</v>
      </c>
      <c r="Y271" s="41">
        <f t="shared" si="231"/>
        <v>2000</v>
      </c>
      <c r="Z271" s="1">
        <f t="shared" si="291"/>
        <v>2500</v>
      </c>
      <c r="AA271" s="41">
        <v>0</v>
      </c>
      <c r="AB271" s="41">
        <f t="shared" si="295"/>
        <v>-2500</v>
      </c>
      <c r="AC271" s="1">
        <f t="shared" si="292"/>
        <v>0</v>
      </c>
      <c r="AD271" s="41">
        <v>150</v>
      </c>
      <c r="AE271" s="1">
        <f t="shared" si="293"/>
        <v>150</v>
      </c>
      <c r="AF271" s="1">
        <f t="shared" si="294"/>
        <v>150</v>
      </c>
    </row>
    <row r="272" spans="1:32" s="2" customFormat="1" outlineLevel="1">
      <c r="A272" s="13">
        <v>23110</v>
      </c>
      <c r="B272" s="11">
        <v>20400</v>
      </c>
      <c r="C272" s="11" t="s">
        <v>409</v>
      </c>
      <c r="D272" s="8"/>
      <c r="E272" s="8"/>
      <c r="F272" s="8"/>
      <c r="G272" s="8"/>
      <c r="H272" s="8"/>
      <c r="I272" s="8"/>
      <c r="J272" s="8"/>
      <c r="K272" s="8"/>
      <c r="L272" s="10">
        <v>2400</v>
      </c>
      <c r="M272" s="10">
        <v>0</v>
      </c>
      <c r="N272" s="7">
        <f t="shared" si="254"/>
        <v>2400</v>
      </c>
      <c r="O272" s="7"/>
      <c r="P272" s="3"/>
      <c r="Q272" s="1">
        <f t="shared" si="286"/>
        <v>2400</v>
      </c>
      <c r="R272" s="3"/>
      <c r="S272" s="3"/>
      <c r="T272" s="1">
        <f t="shared" si="288"/>
        <v>2400</v>
      </c>
      <c r="U272" s="41">
        <v>5600</v>
      </c>
      <c r="V272" s="1">
        <f t="shared" si="289"/>
        <v>3200</v>
      </c>
      <c r="W272" s="1">
        <f t="shared" si="290"/>
        <v>5600</v>
      </c>
      <c r="X272" s="41">
        <v>5600</v>
      </c>
      <c r="Y272" s="41">
        <f t="shared" si="231"/>
        <v>0</v>
      </c>
      <c r="Z272" s="1">
        <f t="shared" si="291"/>
        <v>5600</v>
      </c>
      <c r="AA272" s="41">
        <v>6100</v>
      </c>
      <c r="AB272" s="41">
        <f t="shared" si="295"/>
        <v>500</v>
      </c>
      <c r="AC272" s="1">
        <f t="shared" si="292"/>
        <v>6100</v>
      </c>
      <c r="AD272" s="41">
        <v>6100</v>
      </c>
      <c r="AE272" s="1">
        <f t="shared" si="293"/>
        <v>0</v>
      </c>
      <c r="AF272" s="1">
        <f t="shared" si="294"/>
        <v>6100</v>
      </c>
    </row>
    <row r="273" spans="1:32" s="2" customFormat="1" outlineLevel="1">
      <c r="A273" s="13">
        <v>23110</v>
      </c>
      <c r="B273" s="11">
        <v>21200</v>
      </c>
      <c r="C273" s="11" t="s">
        <v>320</v>
      </c>
      <c r="D273" s="8"/>
      <c r="E273" s="8"/>
      <c r="F273" s="8"/>
      <c r="G273" s="8"/>
      <c r="H273" s="8"/>
      <c r="I273" s="8"/>
      <c r="J273" s="8"/>
      <c r="K273" s="8"/>
      <c r="L273" s="10">
        <v>5000</v>
      </c>
      <c r="M273" s="10">
        <v>0</v>
      </c>
      <c r="N273" s="7">
        <f t="shared" si="254"/>
        <v>5000</v>
      </c>
      <c r="O273" s="7"/>
      <c r="P273" s="16"/>
      <c r="Q273" s="1">
        <f t="shared" si="286"/>
        <v>5000</v>
      </c>
      <c r="R273" s="3"/>
      <c r="S273" s="16"/>
      <c r="T273" s="1">
        <f t="shared" si="288"/>
        <v>5000</v>
      </c>
      <c r="U273" s="1">
        <f t="shared" si="288"/>
        <v>5000</v>
      </c>
      <c r="V273" s="1">
        <f t="shared" si="289"/>
        <v>0</v>
      </c>
      <c r="W273" s="1">
        <f t="shared" si="290"/>
        <v>5000</v>
      </c>
      <c r="X273" s="41">
        <v>3000</v>
      </c>
      <c r="Y273" s="41">
        <f t="shared" si="231"/>
        <v>-2000</v>
      </c>
      <c r="Z273" s="1">
        <f t="shared" si="291"/>
        <v>3000</v>
      </c>
      <c r="AA273" s="41">
        <v>15000</v>
      </c>
      <c r="AB273" s="41">
        <f t="shared" si="295"/>
        <v>12000</v>
      </c>
      <c r="AC273" s="1">
        <f t="shared" si="292"/>
        <v>15000</v>
      </c>
      <c r="AD273" s="41">
        <v>15000</v>
      </c>
      <c r="AE273" s="1">
        <f t="shared" si="293"/>
        <v>0</v>
      </c>
      <c r="AF273" s="1">
        <f t="shared" si="294"/>
        <v>15000</v>
      </c>
    </row>
    <row r="274" spans="1:32" s="2" customFormat="1" outlineLevel="1">
      <c r="A274" s="13">
        <v>23110</v>
      </c>
      <c r="B274" s="11">
        <v>21300</v>
      </c>
      <c r="C274" s="11" t="s">
        <v>321</v>
      </c>
      <c r="D274" s="8"/>
      <c r="E274" s="8"/>
      <c r="F274" s="8"/>
      <c r="G274" s="8"/>
      <c r="H274" s="8"/>
      <c r="I274" s="8"/>
      <c r="J274" s="8"/>
      <c r="K274" s="8"/>
      <c r="L274" s="10">
        <v>601.01</v>
      </c>
      <c r="M274" s="10">
        <v>0</v>
      </c>
      <c r="N274" s="7">
        <f t="shared" si="254"/>
        <v>601.01</v>
      </c>
      <c r="O274" s="7"/>
      <c r="P274" s="3"/>
      <c r="Q274" s="1">
        <f t="shared" si="286"/>
        <v>601.01</v>
      </c>
      <c r="R274" s="3"/>
      <c r="S274" s="3"/>
      <c r="T274" s="1">
        <f t="shared" si="288"/>
        <v>601.01</v>
      </c>
      <c r="U274" s="41">
        <v>1000</v>
      </c>
      <c r="V274" s="1">
        <f t="shared" si="289"/>
        <v>398.99</v>
      </c>
      <c r="W274" s="1">
        <f t="shared" si="290"/>
        <v>1000</v>
      </c>
      <c r="X274" s="41">
        <v>1500</v>
      </c>
      <c r="Y274" s="41">
        <f t="shared" si="231"/>
        <v>500</v>
      </c>
      <c r="Z274" s="1">
        <f t="shared" si="291"/>
        <v>1500</v>
      </c>
      <c r="AA274" s="41">
        <v>1500</v>
      </c>
      <c r="AB274" s="41">
        <f t="shared" si="295"/>
        <v>0</v>
      </c>
      <c r="AC274" s="1">
        <f t="shared" si="292"/>
        <v>1500</v>
      </c>
      <c r="AD274" s="41">
        <v>1500</v>
      </c>
      <c r="AE274" s="1">
        <f t="shared" si="293"/>
        <v>0</v>
      </c>
      <c r="AF274" s="1">
        <f t="shared" si="294"/>
        <v>1500</v>
      </c>
    </row>
    <row r="275" spans="1:32" s="2" customFormat="1" outlineLevel="1">
      <c r="A275" s="13">
        <v>23110</v>
      </c>
      <c r="B275" s="11">
        <v>21400</v>
      </c>
      <c r="C275" s="11" t="s">
        <v>322</v>
      </c>
      <c r="D275" s="8"/>
      <c r="E275" s="8"/>
      <c r="F275" s="8"/>
      <c r="G275" s="8"/>
      <c r="H275" s="8"/>
      <c r="I275" s="8"/>
      <c r="J275" s="8"/>
      <c r="K275" s="8"/>
      <c r="L275" s="10">
        <v>500</v>
      </c>
      <c r="M275" s="10">
        <v>0</v>
      </c>
      <c r="N275" s="7">
        <f t="shared" si="254"/>
        <v>500</v>
      </c>
      <c r="O275" s="7"/>
      <c r="P275" s="3"/>
      <c r="Q275" s="1">
        <f t="shared" si="286"/>
        <v>500</v>
      </c>
      <c r="R275" s="3"/>
      <c r="S275" s="3"/>
      <c r="T275" s="1">
        <f t="shared" si="288"/>
        <v>500</v>
      </c>
      <c r="U275" s="1">
        <f t="shared" si="288"/>
        <v>500</v>
      </c>
      <c r="V275" s="1">
        <f t="shared" si="289"/>
        <v>0</v>
      </c>
      <c r="W275" s="1">
        <f t="shared" si="290"/>
        <v>500</v>
      </c>
      <c r="X275" s="41">
        <v>2000</v>
      </c>
      <c r="Y275" s="41">
        <f t="shared" si="231"/>
        <v>1500</v>
      </c>
      <c r="Z275" s="1">
        <f t="shared" si="291"/>
        <v>2000</v>
      </c>
      <c r="AA275" s="41">
        <v>500</v>
      </c>
      <c r="AB275" s="41">
        <f t="shared" si="295"/>
        <v>-1500</v>
      </c>
      <c r="AC275" s="1">
        <f t="shared" si="292"/>
        <v>500</v>
      </c>
      <c r="AD275" s="41">
        <v>500</v>
      </c>
      <c r="AE275" s="1">
        <f t="shared" si="293"/>
        <v>0</v>
      </c>
      <c r="AF275" s="1">
        <f t="shared" si="294"/>
        <v>500</v>
      </c>
    </row>
    <row r="276" spans="1:32" s="2" customFormat="1" outlineLevel="1">
      <c r="A276" s="13">
        <v>23110</v>
      </c>
      <c r="B276" s="11">
        <v>22000</v>
      </c>
      <c r="C276" s="11" t="s">
        <v>323</v>
      </c>
      <c r="D276" s="8"/>
      <c r="E276" s="8"/>
      <c r="F276" s="8"/>
      <c r="G276" s="8"/>
      <c r="H276" s="8"/>
      <c r="I276" s="8"/>
      <c r="J276" s="8"/>
      <c r="K276" s="8"/>
      <c r="L276" s="10">
        <v>1000</v>
      </c>
      <c r="M276" s="10">
        <v>0</v>
      </c>
      <c r="N276" s="7">
        <f t="shared" si="254"/>
        <v>1000</v>
      </c>
      <c r="O276" s="7"/>
      <c r="P276" s="3"/>
      <c r="Q276" s="1">
        <f t="shared" si="286"/>
        <v>1000</v>
      </c>
      <c r="R276" s="3"/>
      <c r="S276" s="3"/>
      <c r="T276" s="1">
        <f t="shared" si="288"/>
        <v>1000</v>
      </c>
      <c r="U276" s="1">
        <f t="shared" si="288"/>
        <v>1000</v>
      </c>
      <c r="V276" s="1">
        <f t="shared" si="289"/>
        <v>0</v>
      </c>
      <c r="W276" s="1">
        <f t="shared" si="290"/>
        <v>1000</v>
      </c>
      <c r="X276" s="41">
        <v>1000</v>
      </c>
      <c r="Y276" s="41">
        <f t="shared" si="231"/>
        <v>0</v>
      </c>
      <c r="Z276" s="1">
        <f t="shared" si="291"/>
        <v>1000</v>
      </c>
      <c r="AA276" s="41">
        <v>1000</v>
      </c>
      <c r="AB276" s="41">
        <f t="shared" si="295"/>
        <v>0</v>
      </c>
      <c r="AC276" s="1">
        <f t="shared" si="292"/>
        <v>1000</v>
      </c>
      <c r="AD276" s="41">
        <v>1000</v>
      </c>
      <c r="AE276" s="1">
        <f t="shared" si="293"/>
        <v>0</v>
      </c>
      <c r="AF276" s="1">
        <f t="shared" si="294"/>
        <v>1000</v>
      </c>
    </row>
    <row r="277" spans="1:32" s="2" customFormat="1" outlineLevel="1">
      <c r="A277" s="13">
        <v>23110</v>
      </c>
      <c r="B277" s="11">
        <v>22001</v>
      </c>
      <c r="C277" s="11" t="s">
        <v>324</v>
      </c>
      <c r="D277" s="8"/>
      <c r="E277" s="8"/>
      <c r="F277" s="8"/>
      <c r="G277" s="8"/>
      <c r="H277" s="8"/>
      <c r="I277" s="8"/>
      <c r="J277" s="8"/>
      <c r="K277" s="8"/>
      <c r="L277" s="10">
        <v>3000</v>
      </c>
      <c r="M277" s="10">
        <v>0</v>
      </c>
      <c r="N277" s="7">
        <f t="shared" si="254"/>
        <v>3000</v>
      </c>
      <c r="O277" s="7"/>
      <c r="P277" s="3"/>
      <c r="Q277" s="1">
        <f t="shared" si="286"/>
        <v>3000</v>
      </c>
      <c r="R277" s="3"/>
      <c r="S277" s="3"/>
      <c r="T277" s="1">
        <f t="shared" si="288"/>
        <v>3000</v>
      </c>
      <c r="U277" s="1">
        <f t="shared" si="288"/>
        <v>3000</v>
      </c>
      <c r="V277" s="1">
        <f t="shared" si="289"/>
        <v>0</v>
      </c>
      <c r="W277" s="1">
        <f t="shared" si="290"/>
        <v>3000</v>
      </c>
      <c r="X277" s="41">
        <v>0</v>
      </c>
      <c r="Y277" s="41">
        <f t="shared" si="231"/>
        <v>-3000</v>
      </c>
      <c r="Z277" s="1">
        <f t="shared" si="291"/>
        <v>0</v>
      </c>
      <c r="AA277" s="41">
        <v>0</v>
      </c>
      <c r="AB277" s="41">
        <f t="shared" si="295"/>
        <v>0</v>
      </c>
      <c r="AC277" s="1">
        <f t="shared" si="292"/>
        <v>0</v>
      </c>
      <c r="AD277" s="41">
        <v>0</v>
      </c>
      <c r="AE277" s="1">
        <f t="shared" si="293"/>
        <v>0</v>
      </c>
      <c r="AF277" s="1">
        <f t="shared" si="294"/>
        <v>0</v>
      </c>
    </row>
    <row r="278" spans="1:32" s="2" customFormat="1" outlineLevel="1">
      <c r="A278" s="42">
        <v>23110</v>
      </c>
      <c r="B278" s="11">
        <v>22101</v>
      </c>
      <c r="C278" s="39" t="s">
        <v>248</v>
      </c>
      <c r="D278" s="8"/>
      <c r="E278" s="8"/>
      <c r="F278" s="8"/>
      <c r="G278" s="8"/>
      <c r="H278" s="8"/>
      <c r="I278" s="8"/>
      <c r="J278" s="8"/>
      <c r="K278" s="8"/>
      <c r="L278" s="10"/>
      <c r="M278" s="10"/>
      <c r="N278" s="7"/>
      <c r="O278" s="7"/>
      <c r="P278" s="3"/>
      <c r="Q278" s="1"/>
      <c r="R278" s="3"/>
      <c r="S278" s="3"/>
      <c r="T278" s="1"/>
      <c r="U278" s="1"/>
      <c r="V278" s="1"/>
      <c r="W278" s="1"/>
      <c r="X278" s="41"/>
      <c r="Y278" s="41"/>
      <c r="Z278" s="1">
        <v>0</v>
      </c>
      <c r="AA278" s="41">
        <v>350</v>
      </c>
      <c r="AB278" s="41">
        <f t="shared" ref="AB278" si="298">AA278-Z278</f>
        <v>350</v>
      </c>
      <c r="AC278" s="1">
        <f t="shared" ref="AC278" si="299">Z278+AB278</f>
        <v>350</v>
      </c>
      <c r="AD278" s="41">
        <v>350</v>
      </c>
      <c r="AE278" s="1">
        <f t="shared" si="293"/>
        <v>0</v>
      </c>
      <c r="AF278" s="1">
        <f t="shared" si="294"/>
        <v>350</v>
      </c>
    </row>
    <row r="279" spans="1:32" s="2" customFormat="1" outlineLevel="1">
      <c r="A279" s="13">
        <v>23110</v>
      </c>
      <c r="B279" s="11">
        <v>22103</v>
      </c>
      <c r="C279" s="11" t="s">
        <v>325</v>
      </c>
      <c r="D279" s="8"/>
      <c r="E279" s="8"/>
      <c r="F279" s="8"/>
      <c r="G279" s="8"/>
      <c r="H279" s="8"/>
      <c r="I279" s="8"/>
      <c r="J279" s="8"/>
      <c r="K279" s="8"/>
      <c r="L279" s="10">
        <v>1200</v>
      </c>
      <c r="M279" s="10">
        <v>0</v>
      </c>
      <c r="N279" s="7">
        <f t="shared" si="254"/>
        <v>1200</v>
      </c>
      <c r="O279" s="7"/>
      <c r="P279" s="3"/>
      <c r="Q279" s="1">
        <f t="shared" si="286"/>
        <v>1200</v>
      </c>
      <c r="R279" s="3"/>
      <c r="S279" s="3"/>
      <c r="T279" s="1">
        <f t="shared" si="288"/>
        <v>1200</v>
      </c>
      <c r="U279" s="1">
        <f t="shared" si="288"/>
        <v>1200</v>
      </c>
      <c r="V279" s="1">
        <f t="shared" si="289"/>
        <v>0</v>
      </c>
      <c r="W279" s="1">
        <f t="shared" si="290"/>
        <v>1200</v>
      </c>
      <c r="X279" s="41">
        <v>1400</v>
      </c>
      <c r="Y279" s="41">
        <f t="shared" si="231"/>
        <v>200</v>
      </c>
      <c r="Z279" s="1">
        <f t="shared" si="291"/>
        <v>1400</v>
      </c>
      <c r="AA279" s="41">
        <v>1450</v>
      </c>
      <c r="AB279" s="41">
        <f t="shared" si="295"/>
        <v>50</v>
      </c>
      <c r="AC279" s="1">
        <f t="shared" si="292"/>
        <v>1450</v>
      </c>
      <c r="AD279" s="41">
        <v>1450</v>
      </c>
      <c r="AE279" s="1">
        <f t="shared" si="293"/>
        <v>0</v>
      </c>
      <c r="AF279" s="1">
        <f t="shared" si="294"/>
        <v>1450</v>
      </c>
    </row>
    <row r="280" spans="1:32" s="2" customFormat="1" outlineLevel="1">
      <c r="A280" s="13">
        <v>23110</v>
      </c>
      <c r="B280" s="11">
        <v>22199</v>
      </c>
      <c r="C280" s="11" t="s">
        <v>232</v>
      </c>
      <c r="D280" s="8"/>
      <c r="E280" s="8"/>
      <c r="F280" s="8"/>
      <c r="G280" s="8"/>
      <c r="H280" s="8"/>
      <c r="I280" s="8"/>
      <c r="J280" s="8"/>
      <c r="K280" s="8"/>
      <c r="L280" s="10">
        <v>601.01</v>
      </c>
      <c r="M280" s="10">
        <v>0</v>
      </c>
      <c r="N280" s="7">
        <f t="shared" si="254"/>
        <v>601.01</v>
      </c>
      <c r="O280" s="7"/>
      <c r="P280" s="3"/>
      <c r="Q280" s="1">
        <f t="shared" si="286"/>
        <v>601.01</v>
      </c>
      <c r="R280" s="3">
        <v>14239.29</v>
      </c>
      <c r="S280" s="3"/>
      <c r="T280" s="1">
        <f t="shared" si="288"/>
        <v>601.01</v>
      </c>
      <c r="U280" s="41">
        <v>5000</v>
      </c>
      <c r="V280" s="1">
        <f t="shared" si="289"/>
        <v>4398.99</v>
      </c>
      <c r="W280" s="1">
        <f t="shared" si="290"/>
        <v>5000</v>
      </c>
      <c r="X280" s="41">
        <v>7000</v>
      </c>
      <c r="Y280" s="41">
        <f t="shared" si="231"/>
        <v>2000</v>
      </c>
      <c r="Z280" s="1">
        <f t="shared" si="291"/>
        <v>7000</v>
      </c>
      <c r="AA280" s="41">
        <v>7000</v>
      </c>
      <c r="AB280" s="41">
        <f t="shared" si="295"/>
        <v>0</v>
      </c>
      <c r="AC280" s="1">
        <f t="shared" si="292"/>
        <v>7000</v>
      </c>
      <c r="AD280" s="41">
        <v>7000</v>
      </c>
      <c r="AE280" s="1">
        <f t="shared" si="293"/>
        <v>0</v>
      </c>
      <c r="AF280" s="1">
        <f t="shared" si="294"/>
        <v>7000</v>
      </c>
    </row>
    <row r="281" spans="1:32" s="2" customFormat="1" outlineLevel="1">
      <c r="A281" s="13">
        <v>23110</v>
      </c>
      <c r="B281" s="11">
        <v>22400</v>
      </c>
      <c r="C281" s="11" t="s">
        <v>326</v>
      </c>
      <c r="D281" s="8"/>
      <c r="E281" s="8"/>
      <c r="F281" s="8"/>
      <c r="G281" s="8"/>
      <c r="H281" s="8"/>
      <c r="I281" s="8"/>
      <c r="J281" s="8"/>
      <c r="K281" s="8"/>
      <c r="L281" s="10">
        <v>1215</v>
      </c>
      <c r="M281" s="10">
        <v>0</v>
      </c>
      <c r="N281" s="7">
        <f t="shared" si="254"/>
        <v>1215</v>
      </c>
      <c r="O281" s="7"/>
      <c r="P281" s="3"/>
      <c r="Q281" s="1">
        <f t="shared" si="286"/>
        <v>1215</v>
      </c>
      <c r="R281" s="3"/>
      <c r="S281" s="3"/>
      <c r="T281" s="1">
        <f t="shared" si="288"/>
        <v>1215</v>
      </c>
      <c r="U281" s="1">
        <f t="shared" si="288"/>
        <v>1215</v>
      </c>
      <c r="V281" s="1">
        <f t="shared" si="289"/>
        <v>0</v>
      </c>
      <c r="W281" s="1">
        <f t="shared" si="290"/>
        <v>1215</v>
      </c>
      <c r="X281" s="41">
        <v>300</v>
      </c>
      <c r="Y281" s="41">
        <f t="shared" si="231"/>
        <v>-915</v>
      </c>
      <c r="Z281" s="1">
        <f t="shared" si="291"/>
        <v>300</v>
      </c>
      <c r="AA281" s="41">
        <v>300</v>
      </c>
      <c r="AB281" s="41">
        <f t="shared" si="295"/>
        <v>0</v>
      </c>
      <c r="AC281" s="1">
        <f t="shared" si="292"/>
        <v>300</v>
      </c>
      <c r="AD281" s="41">
        <v>300</v>
      </c>
      <c r="AE281" s="1">
        <f t="shared" si="293"/>
        <v>0</v>
      </c>
      <c r="AF281" s="1">
        <f t="shared" si="294"/>
        <v>300</v>
      </c>
    </row>
    <row r="282" spans="1:32" s="2" customFormat="1" outlineLevel="1">
      <c r="A282" s="13">
        <v>23110</v>
      </c>
      <c r="B282" s="11">
        <v>22602</v>
      </c>
      <c r="C282" s="11" t="s">
        <v>327</v>
      </c>
      <c r="D282" s="8"/>
      <c r="E282" s="8"/>
      <c r="F282" s="8"/>
      <c r="G282" s="8"/>
      <c r="H282" s="8"/>
      <c r="I282" s="8"/>
      <c r="J282" s="8"/>
      <c r="K282" s="8"/>
      <c r="L282" s="10">
        <v>10000</v>
      </c>
      <c r="M282" s="10">
        <v>0</v>
      </c>
      <c r="N282" s="7">
        <f t="shared" si="254"/>
        <v>10000</v>
      </c>
      <c r="O282" s="7"/>
      <c r="P282" s="16"/>
      <c r="Q282" s="1">
        <f t="shared" si="286"/>
        <v>10000</v>
      </c>
      <c r="R282" s="3">
        <v>0</v>
      </c>
      <c r="S282" s="16"/>
      <c r="T282" s="1">
        <f t="shared" si="288"/>
        <v>10000</v>
      </c>
      <c r="U282" s="1">
        <f t="shared" si="288"/>
        <v>10000</v>
      </c>
      <c r="V282" s="1">
        <f t="shared" si="289"/>
        <v>0</v>
      </c>
      <c r="W282" s="1">
        <f t="shared" si="290"/>
        <v>10000</v>
      </c>
      <c r="X282" s="41">
        <v>0</v>
      </c>
      <c r="Y282" s="41">
        <f t="shared" si="231"/>
        <v>-10000</v>
      </c>
      <c r="Z282" s="1">
        <f t="shared" si="291"/>
        <v>0</v>
      </c>
      <c r="AA282" s="41">
        <v>0</v>
      </c>
      <c r="AB282" s="41">
        <f t="shared" si="295"/>
        <v>0</v>
      </c>
      <c r="AC282" s="1">
        <f t="shared" si="292"/>
        <v>0</v>
      </c>
      <c r="AD282" s="41">
        <v>0</v>
      </c>
      <c r="AE282" s="1">
        <f t="shared" si="293"/>
        <v>0</v>
      </c>
      <c r="AF282" s="1">
        <f t="shared" si="294"/>
        <v>0</v>
      </c>
    </row>
    <row r="283" spans="1:32" s="2" customFormat="1" outlineLevel="1">
      <c r="A283" s="13">
        <v>23110</v>
      </c>
      <c r="B283" s="11">
        <v>22606</v>
      </c>
      <c r="C283" s="11" t="s">
        <v>328</v>
      </c>
      <c r="D283" s="8"/>
      <c r="E283" s="8"/>
      <c r="F283" s="8"/>
      <c r="G283" s="8"/>
      <c r="H283" s="8"/>
      <c r="I283" s="8"/>
      <c r="J283" s="8"/>
      <c r="K283" s="8"/>
      <c r="L283" s="10">
        <v>40000</v>
      </c>
      <c r="M283" s="10">
        <v>0</v>
      </c>
      <c r="N283" s="7">
        <f t="shared" si="254"/>
        <v>40000</v>
      </c>
      <c r="O283" s="7"/>
      <c r="P283" s="3"/>
      <c r="Q283" s="1">
        <f t="shared" si="286"/>
        <v>40000</v>
      </c>
      <c r="R283" s="3"/>
      <c r="S283" s="3"/>
      <c r="T283" s="1">
        <f t="shared" si="288"/>
        <v>40000</v>
      </c>
      <c r="U283" s="1">
        <f t="shared" si="288"/>
        <v>40000</v>
      </c>
      <c r="V283" s="1">
        <f t="shared" si="289"/>
        <v>0</v>
      </c>
      <c r="W283" s="1">
        <f t="shared" si="290"/>
        <v>40000</v>
      </c>
      <c r="X283" s="41">
        <v>35000</v>
      </c>
      <c r="Y283" s="41">
        <f t="shared" si="231"/>
        <v>-5000</v>
      </c>
      <c r="Z283" s="1">
        <f t="shared" si="291"/>
        <v>35000</v>
      </c>
      <c r="AA283" s="41">
        <f>7000+18000+10000</f>
        <v>35000</v>
      </c>
      <c r="AB283" s="41">
        <f t="shared" si="295"/>
        <v>0</v>
      </c>
      <c r="AC283" s="1">
        <f t="shared" si="292"/>
        <v>35000</v>
      </c>
      <c r="AD283" s="41">
        <v>35000</v>
      </c>
      <c r="AE283" s="1">
        <f t="shared" si="293"/>
        <v>0</v>
      </c>
      <c r="AF283" s="1">
        <f t="shared" si="294"/>
        <v>35000</v>
      </c>
    </row>
    <row r="284" spans="1:32" s="2" customFormat="1" outlineLevel="1">
      <c r="A284" s="13">
        <v>23110</v>
      </c>
      <c r="B284" s="11">
        <v>22699</v>
      </c>
      <c r="C284" s="11" t="s">
        <v>329</v>
      </c>
      <c r="D284" s="8"/>
      <c r="E284" s="8"/>
      <c r="F284" s="8"/>
      <c r="G284" s="8"/>
      <c r="H284" s="8"/>
      <c r="I284" s="8"/>
      <c r="J284" s="8"/>
      <c r="K284" s="8"/>
      <c r="L284" s="10">
        <v>7000</v>
      </c>
      <c r="M284" s="10">
        <v>0</v>
      </c>
      <c r="N284" s="7">
        <f t="shared" si="254"/>
        <v>7000</v>
      </c>
      <c r="O284" s="7"/>
      <c r="P284" s="3"/>
      <c r="Q284" s="1">
        <f t="shared" si="286"/>
        <v>7000</v>
      </c>
      <c r="R284" s="3"/>
      <c r="S284" s="3"/>
      <c r="T284" s="1">
        <f t="shared" si="288"/>
        <v>7000</v>
      </c>
      <c r="U284" s="41">
        <v>14000</v>
      </c>
      <c r="V284" s="1">
        <f t="shared" si="289"/>
        <v>7000</v>
      </c>
      <c r="W284" s="1">
        <f t="shared" si="290"/>
        <v>14000</v>
      </c>
      <c r="X284" s="41">
        <v>20000</v>
      </c>
      <c r="Y284" s="41">
        <f t="shared" si="231"/>
        <v>6000</v>
      </c>
      <c r="Z284" s="1">
        <f t="shared" si="291"/>
        <v>20000</v>
      </c>
      <c r="AA284" s="41">
        <f>40000</f>
        <v>40000</v>
      </c>
      <c r="AB284" s="41">
        <f t="shared" si="295"/>
        <v>20000</v>
      </c>
      <c r="AC284" s="1">
        <f t="shared" si="292"/>
        <v>40000</v>
      </c>
      <c r="AD284" s="41">
        <v>40000</v>
      </c>
      <c r="AE284" s="1">
        <f t="shared" si="293"/>
        <v>0</v>
      </c>
      <c r="AF284" s="1">
        <f t="shared" si="294"/>
        <v>40000</v>
      </c>
    </row>
    <row r="285" spans="1:32" s="2" customFormat="1" outlineLevel="1">
      <c r="A285" s="13">
        <v>23110</v>
      </c>
      <c r="B285" s="11">
        <v>22799</v>
      </c>
      <c r="C285" s="42" t="s">
        <v>849</v>
      </c>
      <c r="D285" s="8"/>
      <c r="E285" s="8"/>
      <c r="F285" s="8"/>
      <c r="G285" s="8"/>
      <c r="H285" s="8"/>
      <c r="I285" s="8"/>
      <c r="J285" s="8"/>
      <c r="K285" s="8"/>
      <c r="L285" s="10">
        <v>18000</v>
      </c>
      <c r="M285" s="10">
        <v>0</v>
      </c>
      <c r="N285" s="7">
        <f t="shared" si="254"/>
        <v>18000</v>
      </c>
      <c r="O285" s="7"/>
      <c r="P285" s="3"/>
      <c r="Q285" s="1">
        <f t="shared" si="286"/>
        <v>18000</v>
      </c>
      <c r="R285" s="3"/>
      <c r="S285" s="3"/>
      <c r="T285" s="1">
        <f t="shared" si="288"/>
        <v>18000</v>
      </c>
      <c r="U285" s="1">
        <f t="shared" si="288"/>
        <v>18000</v>
      </c>
      <c r="V285" s="1">
        <f t="shared" si="289"/>
        <v>0</v>
      </c>
      <c r="W285" s="1">
        <f t="shared" si="290"/>
        <v>18000</v>
      </c>
      <c r="X285" s="41">
        <v>18000</v>
      </c>
      <c r="Y285" s="41">
        <f t="shared" si="231"/>
        <v>0</v>
      </c>
      <c r="Z285" s="1">
        <f t="shared" si="291"/>
        <v>18000</v>
      </c>
      <c r="AA285" s="41">
        <v>125000</v>
      </c>
      <c r="AB285" s="41">
        <f t="shared" si="295"/>
        <v>107000</v>
      </c>
      <c r="AC285" s="1">
        <f t="shared" si="292"/>
        <v>125000</v>
      </c>
      <c r="AD285" s="41">
        <v>130000</v>
      </c>
      <c r="AE285" s="1">
        <f t="shared" si="293"/>
        <v>5000</v>
      </c>
      <c r="AF285" s="1">
        <f t="shared" si="294"/>
        <v>130000</v>
      </c>
    </row>
    <row r="286" spans="1:32" s="2" customFormat="1" outlineLevel="1">
      <c r="A286" s="13">
        <v>23110</v>
      </c>
      <c r="B286" s="11">
        <v>22706</v>
      </c>
      <c r="C286" s="68" t="s">
        <v>850</v>
      </c>
      <c r="D286" s="8"/>
      <c r="E286" s="8"/>
      <c r="F286" s="8"/>
      <c r="G286" s="8"/>
      <c r="H286" s="8"/>
      <c r="I286" s="8"/>
      <c r="J286" s="8"/>
      <c r="K286" s="8"/>
      <c r="L286" s="10">
        <v>215000</v>
      </c>
      <c r="M286" s="10">
        <v>-5000</v>
      </c>
      <c r="N286" s="7">
        <f t="shared" si="254"/>
        <v>210000</v>
      </c>
      <c r="O286" s="7"/>
      <c r="P286" s="3"/>
      <c r="Q286" s="1">
        <f t="shared" si="286"/>
        <v>210000</v>
      </c>
      <c r="R286" s="41">
        <v>40516.660000000003</v>
      </c>
      <c r="S286" s="3"/>
      <c r="T286" s="1">
        <f t="shared" si="288"/>
        <v>210000</v>
      </c>
      <c r="U286" s="1">
        <v>210000</v>
      </c>
      <c r="V286" s="1">
        <f t="shared" si="289"/>
        <v>0</v>
      </c>
      <c r="W286" s="1">
        <f t="shared" si="290"/>
        <v>210000</v>
      </c>
      <c r="X286" s="41">
        <v>210000</v>
      </c>
      <c r="Y286" s="41">
        <f t="shared" si="231"/>
        <v>0</v>
      </c>
      <c r="Z286" s="1">
        <f t="shared" si="291"/>
        <v>210000</v>
      </c>
      <c r="AA286" s="41">
        <f>101000+10000</f>
        <v>111000</v>
      </c>
      <c r="AB286" s="41">
        <f t="shared" si="295"/>
        <v>-99000</v>
      </c>
      <c r="AC286" s="1">
        <f t="shared" si="292"/>
        <v>111000</v>
      </c>
      <c r="AD286" s="41">
        <v>111000</v>
      </c>
      <c r="AE286" s="1">
        <f t="shared" si="293"/>
        <v>0</v>
      </c>
      <c r="AF286" s="1">
        <f t="shared" si="294"/>
        <v>111000</v>
      </c>
    </row>
    <row r="287" spans="1:32" s="2" customFormat="1" outlineLevel="1">
      <c r="A287" s="13">
        <v>23110</v>
      </c>
      <c r="B287" s="11">
        <v>23020</v>
      </c>
      <c r="C287" s="11" t="s">
        <v>330</v>
      </c>
      <c r="D287" s="8"/>
      <c r="E287" s="8"/>
      <c r="F287" s="8"/>
      <c r="G287" s="8"/>
      <c r="H287" s="8"/>
      <c r="I287" s="8"/>
      <c r="J287" s="8"/>
      <c r="K287" s="8"/>
      <c r="L287" s="10">
        <v>1000</v>
      </c>
      <c r="M287" s="10">
        <v>0</v>
      </c>
      <c r="N287" s="7">
        <f t="shared" si="254"/>
        <v>1000</v>
      </c>
      <c r="O287" s="7"/>
      <c r="P287" s="3"/>
      <c r="Q287" s="1">
        <f t="shared" si="286"/>
        <v>1000</v>
      </c>
      <c r="R287" s="3"/>
      <c r="S287" s="3"/>
      <c r="T287" s="1">
        <f t="shared" si="288"/>
        <v>1000</v>
      </c>
      <c r="U287" s="1">
        <f t="shared" si="288"/>
        <v>1000</v>
      </c>
      <c r="V287" s="1">
        <f t="shared" si="289"/>
        <v>0</v>
      </c>
      <c r="W287" s="1">
        <f t="shared" si="290"/>
        <v>1000</v>
      </c>
      <c r="X287" s="41">
        <v>500</v>
      </c>
      <c r="Y287" s="41">
        <f t="shared" ref="Y287:Y358" si="300">X287-W287</f>
        <v>-500</v>
      </c>
      <c r="Z287" s="1">
        <f t="shared" si="291"/>
        <v>500</v>
      </c>
      <c r="AA287" s="41">
        <v>500</v>
      </c>
      <c r="AB287" s="41">
        <f t="shared" si="295"/>
        <v>0</v>
      </c>
      <c r="AC287" s="1">
        <f t="shared" si="292"/>
        <v>500</v>
      </c>
      <c r="AD287" s="41">
        <v>500</v>
      </c>
      <c r="AE287" s="1">
        <f t="shared" si="293"/>
        <v>0</v>
      </c>
      <c r="AF287" s="1">
        <f t="shared" si="294"/>
        <v>500</v>
      </c>
    </row>
    <row r="288" spans="1:32" s="2" customFormat="1" outlineLevel="1">
      <c r="A288" s="13">
        <v>23110</v>
      </c>
      <c r="B288" s="11">
        <v>23120</v>
      </c>
      <c r="C288" s="11" t="s">
        <v>331</v>
      </c>
      <c r="D288" s="8"/>
      <c r="E288" s="8"/>
      <c r="F288" s="8"/>
      <c r="G288" s="8"/>
      <c r="H288" s="8"/>
      <c r="I288" s="8"/>
      <c r="J288" s="8"/>
      <c r="K288" s="8"/>
      <c r="L288" s="10">
        <v>1000</v>
      </c>
      <c r="M288" s="10">
        <v>0</v>
      </c>
      <c r="N288" s="7">
        <f t="shared" si="254"/>
        <v>1000</v>
      </c>
      <c r="O288" s="7"/>
      <c r="P288" s="3"/>
      <c r="Q288" s="1">
        <f t="shared" si="286"/>
        <v>1000</v>
      </c>
      <c r="R288" s="3"/>
      <c r="S288" s="3"/>
      <c r="T288" s="1">
        <f t="shared" si="288"/>
        <v>1000</v>
      </c>
      <c r="U288" s="1">
        <f t="shared" si="288"/>
        <v>1000</v>
      </c>
      <c r="V288" s="1">
        <f t="shared" si="289"/>
        <v>0</v>
      </c>
      <c r="W288" s="1">
        <f t="shared" si="290"/>
        <v>1000</v>
      </c>
      <c r="X288" s="41">
        <v>500</v>
      </c>
      <c r="Y288" s="41">
        <f t="shared" si="300"/>
        <v>-500</v>
      </c>
      <c r="Z288" s="1">
        <f t="shared" si="291"/>
        <v>500</v>
      </c>
      <c r="AA288" s="41">
        <v>500</v>
      </c>
      <c r="AB288" s="41">
        <f t="shared" si="295"/>
        <v>0</v>
      </c>
      <c r="AC288" s="1">
        <f t="shared" si="292"/>
        <v>500</v>
      </c>
      <c r="AD288" s="41">
        <v>500</v>
      </c>
      <c r="AE288" s="1">
        <f t="shared" si="293"/>
        <v>0</v>
      </c>
      <c r="AF288" s="1">
        <f t="shared" si="294"/>
        <v>500</v>
      </c>
    </row>
    <row r="289" spans="1:32" s="2" customFormat="1" outlineLevel="1">
      <c r="A289" s="13">
        <v>23110</v>
      </c>
      <c r="B289" s="11">
        <v>48000</v>
      </c>
      <c r="C289" s="11" t="s">
        <v>333</v>
      </c>
      <c r="D289" s="8"/>
      <c r="E289" s="8"/>
      <c r="F289" s="8"/>
      <c r="G289" s="8"/>
      <c r="H289" s="8"/>
      <c r="I289" s="8"/>
      <c r="J289" s="8"/>
      <c r="K289" s="8"/>
      <c r="L289" s="10">
        <v>170000</v>
      </c>
      <c r="M289" s="10">
        <v>0</v>
      </c>
      <c r="N289" s="7">
        <f t="shared" si="254"/>
        <v>170000</v>
      </c>
      <c r="O289" s="7"/>
      <c r="P289" s="3"/>
      <c r="Q289" s="1">
        <f t="shared" si="286"/>
        <v>170000</v>
      </c>
      <c r="R289" s="3"/>
      <c r="S289" s="3"/>
      <c r="T289" s="1">
        <f t="shared" si="288"/>
        <v>170000</v>
      </c>
      <c r="U289" s="1">
        <f t="shared" si="288"/>
        <v>170000</v>
      </c>
      <c r="V289" s="1">
        <f t="shared" si="289"/>
        <v>0</v>
      </c>
      <c r="W289" s="1">
        <f t="shared" si="290"/>
        <v>170000</v>
      </c>
      <c r="X289" s="41">
        <v>200000</v>
      </c>
      <c r="Y289" s="41">
        <f t="shared" si="300"/>
        <v>30000</v>
      </c>
      <c r="Z289" s="1">
        <f t="shared" si="291"/>
        <v>200000</v>
      </c>
      <c r="AA289" s="41">
        <v>200000</v>
      </c>
      <c r="AB289" s="41">
        <f t="shared" si="295"/>
        <v>0</v>
      </c>
      <c r="AC289" s="1">
        <f t="shared" si="292"/>
        <v>200000</v>
      </c>
      <c r="AD289" s="41">
        <v>230000</v>
      </c>
      <c r="AE289" s="1">
        <f t="shared" si="293"/>
        <v>30000</v>
      </c>
      <c r="AF289" s="1">
        <f t="shared" si="294"/>
        <v>230000</v>
      </c>
    </row>
    <row r="290" spans="1:32" s="2" customFormat="1" outlineLevel="1">
      <c r="A290" s="13">
        <v>23110</v>
      </c>
      <c r="B290" s="11">
        <v>48100</v>
      </c>
      <c r="C290" s="11" t="s">
        <v>637</v>
      </c>
      <c r="D290" s="8"/>
      <c r="E290" s="8"/>
      <c r="F290" s="8"/>
      <c r="G290" s="8"/>
      <c r="H290" s="8"/>
      <c r="I290" s="8"/>
      <c r="J290" s="8"/>
      <c r="K290" s="8"/>
      <c r="L290" s="10">
        <v>110000</v>
      </c>
      <c r="M290" s="10">
        <v>10000</v>
      </c>
      <c r="N290" s="7">
        <f t="shared" si="254"/>
        <v>120000</v>
      </c>
      <c r="O290" s="7"/>
      <c r="P290" s="3"/>
      <c r="Q290" s="1">
        <f t="shared" si="286"/>
        <v>120000</v>
      </c>
      <c r="R290" s="3"/>
      <c r="S290" s="3"/>
      <c r="T290" s="1">
        <f t="shared" si="288"/>
        <v>120000</v>
      </c>
      <c r="U290" s="41">
        <v>140000</v>
      </c>
      <c r="V290" s="1">
        <f t="shared" si="289"/>
        <v>20000</v>
      </c>
      <c r="W290" s="1">
        <f t="shared" si="290"/>
        <v>140000</v>
      </c>
      <c r="X290" s="41">
        <v>130000</v>
      </c>
      <c r="Y290" s="41">
        <f t="shared" si="300"/>
        <v>-10000</v>
      </c>
      <c r="Z290" s="1">
        <f t="shared" si="291"/>
        <v>130000</v>
      </c>
      <c r="AA290" s="41">
        <v>100000</v>
      </c>
      <c r="AB290" s="41">
        <f t="shared" si="295"/>
        <v>-30000</v>
      </c>
      <c r="AC290" s="1">
        <f t="shared" si="292"/>
        <v>100000</v>
      </c>
      <c r="AD290" s="41">
        <v>100000</v>
      </c>
      <c r="AE290" s="1">
        <f t="shared" si="293"/>
        <v>0</v>
      </c>
      <c r="AF290" s="1">
        <f t="shared" si="294"/>
        <v>100000</v>
      </c>
    </row>
    <row r="291" spans="1:32" s="2" customFormat="1" outlineLevel="1">
      <c r="A291" s="13">
        <v>23110</v>
      </c>
      <c r="B291" s="11">
        <v>48200</v>
      </c>
      <c r="C291" s="11" t="s">
        <v>634</v>
      </c>
      <c r="D291" s="8"/>
      <c r="E291" s="8"/>
      <c r="F291" s="8"/>
      <c r="G291" s="8"/>
      <c r="H291" s="8"/>
      <c r="I291" s="8"/>
      <c r="J291" s="8"/>
      <c r="K291" s="8"/>
      <c r="L291" s="10">
        <v>0</v>
      </c>
      <c r="M291" s="10">
        <v>100000</v>
      </c>
      <c r="N291" s="7">
        <f t="shared" si="254"/>
        <v>100000</v>
      </c>
      <c r="O291" s="7"/>
      <c r="P291" s="16"/>
      <c r="Q291" s="1">
        <f t="shared" si="286"/>
        <v>100000</v>
      </c>
      <c r="R291" s="3"/>
      <c r="S291" s="41"/>
      <c r="T291" s="1">
        <f t="shared" si="288"/>
        <v>100000</v>
      </c>
      <c r="U291" s="1">
        <f t="shared" si="288"/>
        <v>100000</v>
      </c>
      <c r="V291" s="1">
        <f t="shared" si="289"/>
        <v>0</v>
      </c>
      <c r="W291" s="1">
        <f t="shared" si="290"/>
        <v>100000</v>
      </c>
      <c r="X291" s="41">
        <v>50000</v>
      </c>
      <c r="Y291" s="41">
        <f t="shared" si="300"/>
        <v>-50000</v>
      </c>
      <c r="Z291" s="1">
        <f t="shared" si="291"/>
        <v>50000</v>
      </c>
      <c r="AA291" s="41">
        <v>95000</v>
      </c>
      <c r="AB291" s="41">
        <f t="shared" si="295"/>
        <v>45000</v>
      </c>
      <c r="AC291" s="1">
        <f t="shared" si="292"/>
        <v>95000</v>
      </c>
      <c r="AD291" s="41">
        <v>80000</v>
      </c>
      <c r="AE291" s="1">
        <f t="shared" si="293"/>
        <v>-15000</v>
      </c>
      <c r="AF291" s="1">
        <f t="shared" si="294"/>
        <v>80000</v>
      </c>
    </row>
    <row r="292" spans="1:32" s="2" customFormat="1" outlineLevel="1">
      <c r="A292" s="13">
        <v>23110</v>
      </c>
      <c r="B292" s="11">
        <v>48900</v>
      </c>
      <c r="C292" s="11" t="s">
        <v>86</v>
      </c>
      <c r="D292" s="8"/>
      <c r="E292" s="8"/>
      <c r="F292" s="8"/>
      <c r="G292" s="8"/>
      <c r="H292" s="8"/>
      <c r="I292" s="8"/>
      <c r="J292" s="8"/>
      <c r="K292" s="8"/>
      <c r="L292" s="10">
        <v>190600</v>
      </c>
      <c r="M292" s="10">
        <f>132000-L292</f>
        <v>-58600</v>
      </c>
      <c r="N292" s="7">
        <f t="shared" si="254"/>
        <v>132000</v>
      </c>
      <c r="O292" s="7"/>
      <c r="P292" s="16">
        <v>-27000</v>
      </c>
      <c r="Q292" s="1">
        <f t="shared" si="286"/>
        <v>105000</v>
      </c>
      <c r="R292" s="3"/>
      <c r="S292" s="16">
        <v>45000</v>
      </c>
      <c r="T292" s="1">
        <f t="shared" si="288"/>
        <v>150000</v>
      </c>
      <c r="U292" s="1">
        <f t="shared" si="288"/>
        <v>150000</v>
      </c>
      <c r="V292" s="1">
        <f t="shared" si="289"/>
        <v>0</v>
      </c>
      <c r="W292" s="1">
        <f t="shared" si="290"/>
        <v>150000</v>
      </c>
      <c r="X292" s="41">
        <v>160000</v>
      </c>
      <c r="Y292" s="41">
        <f t="shared" si="300"/>
        <v>10000</v>
      </c>
      <c r="Z292" s="1">
        <f t="shared" si="291"/>
        <v>160000</v>
      </c>
      <c r="AA292" s="41">
        <v>160000</v>
      </c>
      <c r="AB292" s="41">
        <f t="shared" si="295"/>
        <v>0</v>
      </c>
      <c r="AC292" s="1">
        <f t="shared" si="292"/>
        <v>160000</v>
      </c>
      <c r="AD292" s="41">
        <v>180000</v>
      </c>
      <c r="AE292" s="1">
        <f t="shared" si="293"/>
        <v>20000</v>
      </c>
      <c r="AF292" s="1">
        <f t="shared" si="294"/>
        <v>180000</v>
      </c>
    </row>
    <row r="293" spans="1:32" s="2" customFormat="1" outlineLevel="1">
      <c r="A293" s="13">
        <v>23110</v>
      </c>
      <c r="B293" s="11">
        <v>62500</v>
      </c>
      <c r="C293" s="39" t="s">
        <v>736</v>
      </c>
      <c r="D293" s="8"/>
      <c r="E293" s="8"/>
      <c r="F293" s="8"/>
      <c r="G293" s="8"/>
      <c r="H293" s="8"/>
      <c r="I293" s="8"/>
      <c r="J293" s="8"/>
      <c r="K293" s="8"/>
      <c r="L293" s="10"/>
      <c r="M293" s="10"/>
      <c r="N293" s="7"/>
      <c r="O293" s="7"/>
      <c r="P293" s="3"/>
      <c r="Q293" s="1"/>
      <c r="R293" s="3"/>
      <c r="S293" s="3"/>
      <c r="T293" s="1"/>
      <c r="U293" s="1"/>
      <c r="V293" s="1"/>
      <c r="W293" s="1"/>
      <c r="X293" s="41"/>
      <c r="Y293" s="41"/>
      <c r="Z293" s="1"/>
      <c r="AA293" s="41"/>
      <c r="AB293" s="41"/>
      <c r="AC293" s="1">
        <v>0</v>
      </c>
      <c r="AD293" s="41">
        <v>10000</v>
      </c>
      <c r="AE293" s="1">
        <f t="shared" ref="AE293" si="301">AD293-AC293</f>
        <v>10000</v>
      </c>
      <c r="AF293" s="1">
        <f t="shared" ref="AF293" si="302">AC293+AE293</f>
        <v>10000</v>
      </c>
    </row>
    <row r="294" spans="1:32" s="2" customFormat="1" outlineLevel="1">
      <c r="A294" s="42">
        <v>23110</v>
      </c>
      <c r="B294" s="11">
        <v>63200</v>
      </c>
      <c r="C294" s="39" t="s">
        <v>897</v>
      </c>
      <c r="D294" s="8"/>
      <c r="E294" s="8"/>
      <c r="F294" s="8"/>
      <c r="G294" s="8"/>
      <c r="H294" s="8"/>
      <c r="I294" s="8"/>
      <c r="J294" s="8"/>
      <c r="K294" s="8"/>
      <c r="L294" s="10"/>
      <c r="M294" s="10"/>
      <c r="N294" s="7"/>
      <c r="O294" s="7"/>
      <c r="P294" s="3"/>
      <c r="Q294" s="1"/>
      <c r="R294" s="3"/>
      <c r="S294" s="3"/>
      <c r="T294" s="1"/>
      <c r="U294" s="1"/>
      <c r="V294" s="1"/>
      <c r="W294" s="1"/>
      <c r="X294" s="41"/>
      <c r="Y294" s="41"/>
      <c r="Z294" s="1">
        <v>0</v>
      </c>
      <c r="AA294" s="41">
        <v>30000</v>
      </c>
      <c r="AB294" s="41">
        <f t="shared" ref="AB294" si="303">AA294-Z294</f>
        <v>30000</v>
      </c>
      <c r="AC294" s="1">
        <f t="shared" ref="AC294" si="304">Z294+AB294</f>
        <v>30000</v>
      </c>
      <c r="AD294" s="41">
        <v>0</v>
      </c>
      <c r="AE294" s="1">
        <f t="shared" si="293"/>
        <v>-30000</v>
      </c>
      <c r="AF294" s="1">
        <f t="shared" si="294"/>
        <v>0</v>
      </c>
    </row>
    <row r="295" spans="1:32" s="2" customFormat="1" outlineLevel="1">
      <c r="A295" s="9" t="s">
        <v>783</v>
      </c>
      <c r="B295" s="9"/>
      <c r="C295" s="9" t="s">
        <v>44</v>
      </c>
      <c r="D295" s="8"/>
      <c r="E295" s="8"/>
      <c r="F295" s="8"/>
      <c r="G295" s="8"/>
      <c r="H295" s="8"/>
      <c r="I295" s="8"/>
      <c r="J295" s="8"/>
      <c r="K295" s="8"/>
      <c r="L295" s="8">
        <f t="shared" ref="L295:Q295" si="305">SUBTOTAL(9,L257:L292)</f>
        <v>1344359.17</v>
      </c>
      <c r="M295" s="8">
        <f t="shared" si="305"/>
        <v>-30620.250000000029</v>
      </c>
      <c r="N295" s="8">
        <f t="shared" si="305"/>
        <v>1313738.92</v>
      </c>
      <c r="O295" s="8">
        <f t="shared" si="305"/>
        <v>527160.73</v>
      </c>
      <c r="P295" s="8">
        <f t="shared" si="305"/>
        <v>11438.830000000009</v>
      </c>
      <c r="Q295" s="8">
        <f t="shared" si="305"/>
        <v>1325177.75</v>
      </c>
      <c r="R295" s="3"/>
      <c r="S295" s="8">
        <f t="shared" ref="S295:Y295" si="306">SUBTOTAL(9,S257:S292)</f>
        <v>99596.260000000009</v>
      </c>
      <c r="T295" s="8">
        <f t="shared" si="306"/>
        <v>1424774.01</v>
      </c>
      <c r="U295" s="8">
        <f t="shared" si="306"/>
        <v>1476224.8599999999</v>
      </c>
      <c r="V295" s="8">
        <f t="shared" si="306"/>
        <v>51450.850000000006</v>
      </c>
      <c r="W295" s="8">
        <f t="shared" si="306"/>
        <v>1476224.8599999999</v>
      </c>
      <c r="X295" s="8">
        <f t="shared" si="306"/>
        <v>1387349.54</v>
      </c>
      <c r="Y295" s="8">
        <f t="shared" si="306"/>
        <v>-88875.319999999978</v>
      </c>
      <c r="Z295" s="8">
        <f>SUBTOTAL(9,Z257:Z294)</f>
        <v>1387349.54</v>
      </c>
      <c r="AA295" s="8">
        <f t="shared" ref="AA295:AB295" si="307">SUBTOTAL(9,AA257:AA294)</f>
        <v>1456121.69</v>
      </c>
      <c r="AB295" s="8">
        <f t="shared" si="307"/>
        <v>68772.149999999965</v>
      </c>
      <c r="AC295" s="8">
        <f>SUBTOTAL(9,AC257:AC294)</f>
        <v>1456121.69</v>
      </c>
      <c r="AD295" s="8">
        <f t="shared" ref="AD295:AF295" si="308">SUBTOTAL(9,AD257:AD294)</f>
        <v>1759793.01</v>
      </c>
      <c r="AE295" s="8">
        <f t="shared" si="308"/>
        <v>303671.32000000007</v>
      </c>
      <c r="AF295" s="8">
        <f t="shared" si="308"/>
        <v>1759793.01</v>
      </c>
    </row>
    <row r="296" spans="1:32" s="2" customFormat="1" outlineLevel="1">
      <c r="A296" s="13">
        <v>23111</v>
      </c>
      <c r="B296" s="11">
        <v>12000</v>
      </c>
      <c r="C296" s="11" t="s">
        <v>113</v>
      </c>
      <c r="D296" s="7">
        <v>16620.46</v>
      </c>
      <c r="E296" s="7">
        <v>19684.97</v>
      </c>
      <c r="F296" s="7">
        <f t="shared" ref="F296:F301" si="309">D296-E296</f>
        <v>-3064.510000000002</v>
      </c>
      <c r="G296" s="7">
        <v>3064.51</v>
      </c>
      <c r="H296" s="7">
        <f t="shared" ref="H296:H301" si="310">D296+G296</f>
        <v>19684.97</v>
      </c>
      <c r="I296" s="10">
        <v>14677.32</v>
      </c>
      <c r="J296" s="10">
        <f t="shared" ref="J296:J316" si="311">H296-I296</f>
        <v>5007.6500000000015</v>
      </c>
      <c r="K296" s="10">
        <v>-5007.6499999999996</v>
      </c>
      <c r="L296" s="7">
        <v>14677.32</v>
      </c>
      <c r="M296" s="10">
        <f>27553.8-L296</f>
        <v>12876.48</v>
      </c>
      <c r="N296" s="7">
        <f t="shared" ref="N296:N316" si="312">L296+M296</f>
        <v>27553.8</v>
      </c>
      <c r="O296" s="7">
        <v>12876.48</v>
      </c>
      <c r="P296" s="1">
        <f t="shared" ref="P296:P301" si="313">O296-N296</f>
        <v>-14677.32</v>
      </c>
      <c r="Q296" s="1">
        <f t="shared" ref="Q296:Q316" si="314">N296+P296</f>
        <v>12876.48</v>
      </c>
      <c r="R296" s="41">
        <v>14677.32</v>
      </c>
      <c r="S296" s="1">
        <f t="shared" ref="S296:S301" si="315">R296-Q296</f>
        <v>1800.8400000000001</v>
      </c>
      <c r="T296" s="1">
        <f t="shared" ref="T296:U316" si="316">Q296+S296</f>
        <v>14677.32</v>
      </c>
      <c r="U296" s="41">
        <v>12876.48</v>
      </c>
      <c r="V296" s="1">
        <f t="shared" ref="V296:V316" si="317">U296-T296</f>
        <v>-1800.8400000000001</v>
      </c>
      <c r="W296" s="1">
        <f t="shared" ref="W296:W316" si="318">T296+V296</f>
        <v>12876.48</v>
      </c>
      <c r="X296" s="41">
        <v>16140.87</v>
      </c>
      <c r="Y296" s="41">
        <f t="shared" si="300"/>
        <v>3264.3900000000012</v>
      </c>
      <c r="Z296" s="1">
        <f t="shared" ref="Z296:Z318" si="319">W296+Y296</f>
        <v>16140.87</v>
      </c>
      <c r="AA296" s="41">
        <v>16368.69</v>
      </c>
      <c r="AB296" s="41">
        <f>AA296-Z296</f>
        <v>227.81999999999971</v>
      </c>
      <c r="AC296" s="1">
        <f t="shared" ref="AC296:AC318" si="320">Z296+AB296</f>
        <v>16368.69</v>
      </c>
      <c r="AD296" s="41">
        <v>15196.94</v>
      </c>
      <c r="AE296" s="1">
        <f t="shared" ref="AE296:AE318" si="321">AD296-AC296</f>
        <v>-1171.75</v>
      </c>
      <c r="AF296" s="1">
        <f t="shared" ref="AF296:AF318" si="322">AC296+AE296</f>
        <v>15196.94</v>
      </c>
    </row>
    <row r="297" spans="1:32" s="2" customFormat="1" outlineLevel="1">
      <c r="A297" s="13">
        <v>23111</v>
      </c>
      <c r="B297" s="11">
        <v>12001</v>
      </c>
      <c r="C297" s="11" t="s">
        <v>114</v>
      </c>
      <c r="D297" s="7">
        <v>0</v>
      </c>
      <c r="E297" s="7">
        <v>32786.800000000003</v>
      </c>
      <c r="F297" s="7">
        <f t="shared" si="309"/>
        <v>-32786.800000000003</v>
      </c>
      <c r="G297" s="7">
        <v>32786.800000000003</v>
      </c>
      <c r="H297" s="7">
        <f t="shared" si="310"/>
        <v>32786.800000000003</v>
      </c>
      <c r="I297" s="10">
        <v>25813.040000000001</v>
      </c>
      <c r="J297" s="10">
        <f t="shared" si="311"/>
        <v>6973.760000000002</v>
      </c>
      <c r="K297" s="10">
        <v>-6973.76</v>
      </c>
      <c r="L297" s="7">
        <v>25813.040000000001</v>
      </c>
      <c r="M297" s="10">
        <f>51626.08-L297</f>
        <v>25813.040000000001</v>
      </c>
      <c r="N297" s="7">
        <f t="shared" si="312"/>
        <v>51626.080000000002</v>
      </c>
      <c r="O297" s="7">
        <v>38719.56</v>
      </c>
      <c r="P297" s="1">
        <f t="shared" si="313"/>
        <v>-12906.520000000004</v>
      </c>
      <c r="Q297" s="1">
        <f t="shared" si="314"/>
        <v>38719.56</v>
      </c>
      <c r="R297" s="41">
        <v>51626.080000000002</v>
      </c>
      <c r="S297" s="1">
        <f t="shared" si="315"/>
        <v>12906.520000000004</v>
      </c>
      <c r="T297" s="1">
        <f t="shared" si="316"/>
        <v>51626.080000000002</v>
      </c>
      <c r="U297" s="41">
        <v>51626.080000000002</v>
      </c>
      <c r="V297" s="1">
        <f t="shared" si="317"/>
        <v>0</v>
      </c>
      <c r="W297" s="1">
        <f t="shared" si="318"/>
        <v>51626.080000000002</v>
      </c>
      <c r="X297" s="41">
        <v>56240.26</v>
      </c>
      <c r="Y297" s="41">
        <f t="shared" si="300"/>
        <v>4614.18</v>
      </c>
      <c r="Z297" s="1">
        <f t="shared" si="319"/>
        <v>56240.26</v>
      </c>
      <c r="AA297" s="41">
        <v>52663.8</v>
      </c>
      <c r="AB297" s="41">
        <f t="shared" ref="AB297:AB318" si="323">AA297-Z297</f>
        <v>-3576.4599999999991</v>
      </c>
      <c r="AC297" s="1">
        <f t="shared" si="320"/>
        <v>52663.8</v>
      </c>
      <c r="AD297" s="41">
        <v>53454</v>
      </c>
      <c r="AE297" s="1">
        <f t="shared" si="321"/>
        <v>790.19999999999709</v>
      </c>
      <c r="AF297" s="1">
        <f t="shared" si="322"/>
        <v>53454</v>
      </c>
    </row>
    <row r="298" spans="1:32" s="2" customFormat="1" outlineLevel="1">
      <c r="A298" s="13">
        <v>23111</v>
      </c>
      <c r="B298" s="11">
        <v>12003</v>
      </c>
      <c r="C298" s="11" t="s">
        <v>134</v>
      </c>
      <c r="D298" s="7">
        <v>0</v>
      </c>
      <c r="E298" s="7">
        <v>12455.71</v>
      </c>
      <c r="F298" s="7">
        <f t="shared" si="309"/>
        <v>-12455.71</v>
      </c>
      <c r="G298" s="7">
        <v>12455.71</v>
      </c>
      <c r="H298" s="7">
        <f t="shared" si="310"/>
        <v>12455.71</v>
      </c>
      <c r="I298" s="10">
        <v>9884.84</v>
      </c>
      <c r="J298" s="10">
        <f t="shared" si="311"/>
        <v>2570.869999999999</v>
      </c>
      <c r="K298" s="10">
        <v>-2570.87</v>
      </c>
      <c r="L298" s="7">
        <v>9884.84</v>
      </c>
      <c r="M298" s="10">
        <v>0</v>
      </c>
      <c r="N298" s="7">
        <f t="shared" si="312"/>
        <v>9884.84</v>
      </c>
      <c r="O298" s="7">
        <v>9884.84</v>
      </c>
      <c r="P298" s="1">
        <f t="shared" si="313"/>
        <v>0</v>
      </c>
      <c r="Q298" s="1">
        <f t="shared" si="314"/>
        <v>9884.84</v>
      </c>
      <c r="R298" s="41">
        <v>22637.200000000001</v>
      </c>
      <c r="S298" s="1">
        <f t="shared" si="315"/>
        <v>12752.36</v>
      </c>
      <c r="T298" s="1">
        <f t="shared" si="316"/>
        <v>22637.200000000001</v>
      </c>
      <c r="U298" s="41">
        <v>22637.200000000001</v>
      </c>
      <c r="V298" s="1">
        <f t="shared" si="317"/>
        <v>0</v>
      </c>
      <c r="W298" s="1">
        <f t="shared" si="318"/>
        <v>22637.200000000001</v>
      </c>
      <c r="X298" s="41">
        <v>23869.98</v>
      </c>
      <c r="Y298" s="41">
        <f t="shared" si="300"/>
        <v>1232.7799999999988</v>
      </c>
      <c r="Z298" s="1">
        <f t="shared" si="319"/>
        <v>23869.98</v>
      </c>
      <c r="AA298" s="41">
        <v>20167.310000000001</v>
      </c>
      <c r="AB298" s="41">
        <f t="shared" si="323"/>
        <v>-3702.6699999999983</v>
      </c>
      <c r="AC298" s="1">
        <f t="shared" si="320"/>
        <v>20167.310000000001</v>
      </c>
      <c r="AD298" s="41">
        <v>23598.51</v>
      </c>
      <c r="AE298" s="1">
        <f t="shared" si="321"/>
        <v>3431.1999999999971</v>
      </c>
      <c r="AF298" s="1">
        <f t="shared" si="322"/>
        <v>23598.51</v>
      </c>
    </row>
    <row r="299" spans="1:32" s="2" customFormat="1" outlineLevel="1">
      <c r="A299" s="13">
        <v>23111</v>
      </c>
      <c r="B299" s="11">
        <v>12006</v>
      </c>
      <c r="C299" s="11" t="s">
        <v>81</v>
      </c>
      <c r="D299" s="7">
        <v>0</v>
      </c>
      <c r="E299" s="7">
        <v>8360.5300000000007</v>
      </c>
      <c r="F299" s="7">
        <f t="shared" si="309"/>
        <v>-8360.5300000000007</v>
      </c>
      <c r="G299" s="7">
        <v>8360.5300000000007</v>
      </c>
      <c r="H299" s="7">
        <f t="shared" si="310"/>
        <v>8360.5300000000007</v>
      </c>
      <c r="I299" s="10">
        <v>9709</v>
      </c>
      <c r="J299" s="10">
        <f t="shared" si="311"/>
        <v>-1348.4699999999993</v>
      </c>
      <c r="K299" s="10">
        <v>1348.47</v>
      </c>
      <c r="L299" s="7">
        <v>9709</v>
      </c>
      <c r="M299" s="10">
        <f>13415.01-L299</f>
        <v>3706.01</v>
      </c>
      <c r="N299" s="7">
        <f t="shared" si="312"/>
        <v>13415.01</v>
      </c>
      <c r="O299" s="7">
        <v>15348.68</v>
      </c>
      <c r="P299" s="1">
        <f t="shared" si="313"/>
        <v>1933.67</v>
      </c>
      <c r="Q299" s="1">
        <f t="shared" si="314"/>
        <v>15348.68</v>
      </c>
      <c r="R299" s="41">
        <v>20186.96</v>
      </c>
      <c r="S299" s="1">
        <f t="shared" si="315"/>
        <v>4838.2799999999988</v>
      </c>
      <c r="T299" s="1">
        <f t="shared" si="316"/>
        <v>20186.96</v>
      </c>
      <c r="U299" s="41">
        <v>22655.29</v>
      </c>
      <c r="V299" s="1">
        <f t="shared" si="317"/>
        <v>2468.3300000000017</v>
      </c>
      <c r="W299" s="1">
        <f t="shared" si="318"/>
        <v>22655.29</v>
      </c>
      <c r="X299" s="41">
        <v>23036.23</v>
      </c>
      <c r="Y299" s="41">
        <f t="shared" si="300"/>
        <v>380.93999999999869</v>
      </c>
      <c r="Z299" s="1">
        <f t="shared" si="319"/>
        <v>23036.23</v>
      </c>
      <c r="AA299" s="41">
        <v>24317.759999999998</v>
      </c>
      <c r="AB299" s="41">
        <f t="shared" si="323"/>
        <v>1281.5299999999988</v>
      </c>
      <c r="AC299" s="1">
        <f t="shared" si="320"/>
        <v>24317.759999999998</v>
      </c>
      <c r="AD299" s="41">
        <v>26231.86</v>
      </c>
      <c r="AE299" s="1">
        <f t="shared" si="321"/>
        <v>1914.1000000000022</v>
      </c>
      <c r="AF299" s="1">
        <f t="shared" si="322"/>
        <v>26231.86</v>
      </c>
    </row>
    <row r="300" spans="1:32" s="2" customFormat="1" outlineLevel="1">
      <c r="A300" s="13">
        <v>23111</v>
      </c>
      <c r="B300" s="11">
        <v>12100</v>
      </c>
      <c r="C300" s="11" t="s">
        <v>115</v>
      </c>
      <c r="D300" s="7">
        <v>14189.73</v>
      </c>
      <c r="E300" s="7">
        <v>25229.21</v>
      </c>
      <c r="F300" s="7">
        <f t="shared" si="309"/>
        <v>-11039.48</v>
      </c>
      <c r="G300" s="7">
        <v>11039.48</v>
      </c>
      <c r="H300" s="7">
        <f t="shared" si="310"/>
        <v>25229.21</v>
      </c>
      <c r="I300" s="10">
        <v>28475.16</v>
      </c>
      <c r="J300" s="10">
        <f t="shared" si="311"/>
        <v>-3245.9500000000007</v>
      </c>
      <c r="K300" s="10">
        <v>3245.95</v>
      </c>
      <c r="L300" s="7">
        <v>28475.16</v>
      </c>
      <c r="M300" s="10">
        <f>50911.56-L300</f>
        <v>22436.399999999998</v>
      </c>
      <c r="N300" s="7">
        <f t="shared" si="312"/>
        <v>50911.56</v>
      </c>
      <c r="O300" s="7">
        <v>35612.92</v>
      </c>
      <c r="P300" s="1">
        <f t="shared" si="313"/>
        <v>-15298.64</v>
      </c>
      <c r="Q300" s="1">
        <f t="shared" si="314"/>
        <v>35612.92</v>
      </c>
      <c r="R300" s="41">
        <v>48277.74</v>
      </c>
      <c r="S300" s="1">
        <f t="shared" si="315"/>
        <v>12664.82</v>
      </c>
      <c r="T300" s="1">
        <f t="shared" si="316"/>
        <v>48277.74</v>
      </c>
      <c r="U300" s="41">
        <v>48277.74</v>
      </c>
      <c r="V300" s="1">
        <f t="shared" si="317"/>
        <v>0</v>
      </c>
      <c r="W300" s="1">
        <f t="shared" si="318"/>
        <v>48277.74</v>
      </c>
      <c r="X300" s="41">
        <v>50387.34</v>
      </c>
      <c r="Y300" s="41">
        <f t="shared" si="300"/>
        <v>2109.5999999999985</v>
      </c>
      <c r="Z300" s="1">
        <f t="shared" si="319"/>
        <v>50387.34</v>
      </c>
      <c r="AA300" s="41">
        <v>50891.4</v>
      </c>
      <c r="AB300" s="41">
        <f t="shared" si="323"/>
        <v>504.06000000000495</v>
      </c>
      <c r="AC300" s="1">
        <f t="shared" si="320"/>
        <v>50891.4</v>
      </c>
      <c r="AD300" s="41">
        <v>51654.99</v>
      </c>
      <c r="AE300" s="1">
        <f t="shared" si="321"/>
        <v>763.58999999999651</v>
      </c>
      <c r="AF300" s="1">
        <f t="shared" si="322"/>
        <v>51654.99</v>
      </c>
    </row>
    <row r="301" spans="1:32" outlineLevel="2">
      <c r="A301" s="13">
        <v>23111</v>
      </c>
      <c r="B301" s="11">
        <v>12101</v>
      </c>
      <c r="C301" s="11" t="s">
        <v>116</v>
      </c>
      <c r="D301" s="7">
        <v>0</v>
      </c>
      <c r="E301" s="7">
        <v>31135.07</v>
      </c>
      <c r="F301" s="7">
        <f t="shared" si="309"/>
        <v>-31135.07</v>
      </c>
      <c r="G301" s="7">
        <v>31135.07</v>
      </c>
      <c r="H301" s="7">
        <f t="shared" si="310"/>
        <v>31135.07</v>
      </c>
      <c r="I301" s="10">
        <v>42211.12</v>
      </c>
      <c r="J301" s="10">
        <f t="shared" si="311"/>
        <v>-11076.050000000003</v>
      </c>
      <c r="K301" s="10">
        <v>11076.05</v>
      </c>
      <c r="L301" s="7">
        <v>42211.12</v>
      </c>
      <c r="M301" s="10">
        <f>69602.4-L301</f>
        <v>27391.279999999992</v>
      </c>
      <c r="N301" s="7">
        <f t="shared" si="312"/>
        <v>69602.399999999994</v>
      </c>
      <c r="O301" s="7">
        <v>50848.14</v>
      </c>
      <c r="P301" s="1">
        <f t="shared" si="313"/>
        <v>-18754.259999999995</v>
      </c>
      <c r="Q301" s="1">
        <f t="shared" si="314"/>
        <v>50848.14</v>
      </c>
      <c r="R301" s="41">
        <v>66603.039999999994</v>
      </c>
      <c r="S301" s="1">
        <f t="shared" si="315"/>
        <v>15754.899999999994</v>
      </c>
      <c r="T301" s="1">
        <f t="shared" si="316"/>
        <v>66603.039999999994</v>
      </c>
      <c r="U301" s="1">
        <v>66603.039999999994</v>
      </c>
      <c r="V301" s="1">
        <f t="shared" si="317"/>
        <v>0</v>
      </c>
      <c r="W301" s="1">
        <f t="shared" si="318"/>
        <v>66603.039999999994</v>
      </c>
      <c r="X301" s="1">
        <v>68803.12</v>
      </c>
      <c r="Y301" s="41">
        <f t="shared" si="300"/>
        <v>2200.0800000000017</v>
      </c>
      <c r="Z301" s="1">
        <f t="shared" si="319"/>
        <v>68803.12</v>
      </c>
      <c r="AA301" s="41">
        <v>67941.7</v>
      </c>
      <c r="AB301" s="41">
        <f t="shared" si="323"/>
        <v>-861.41999999999825</v>
      </c>
      <c r="AC301" s="1">
        <f t="shared" si="320"/>
        <v>67941.7</v>
      </c>
      <c r="AD301" s="41">
        <v>70533.59</v>
      </c>
      <c r="AE301" s="1">
        <f t="shared" si="321"/>
        <v>2591.8899999999994</v>
      </c>
      <c r="AF301" s="1">
        <f t="shared" si="322"/>
        <v>70533.59</v>
      </c>
    </row>
    <row r="302" spans="1:32" outlineLevel="2">
      <c r="A302" s="13">
        <v>23111</v>
      </c>
      <c r="B302" s="11">
        <v>13000</v>
      </c>
      <c r="C302" s="42" t="s">
        <v>801</v>
      </c>
      <c r="D302" s="7"/>
      <c r="E302" s="7"/>
      <c r="F302" s="7"/>
      <c r="G302" s="7"/>
      <c r="H302" s="7"/>
      <c r="I302" s="10"/>
      <c r="J302" s="10"/>
      <c r="K302" s="10"/>
      <c r="L302" s="7"/>
      <c r="M302" s="10"/>
      <c r="N302" s="7"/>
      <c r="O302" s="7"/>
      <c r="R302" s="41"/>
      <c r="T302" s="1"/>
      <c r="V302" s="1"/>
      <c r="W302" s="1">
        <v>0</v>
      </c>
      <c r="X302" s="1">
        <v>1086.1600000000001</v>
      </c>
      <c r="Y302" s="41">
        <f t="shared" ref="Y302:Y303" si="324">X302-W302</f>
        <v>1086.1600000000001</v>
      </c>
      <c r="Z302" s="1">
        <f t="shared" ref="Z302:Z303" si="325">W302+Y302</f>
        <v>1086.1600000000001</v>
      </c>
      <c r="AA302" s="41">
        <v>0</v>
      </c>
      <c r="AB302" s="41">
        <f t="shared" si="323"/>
        <v>-1086.1600000000001</v>
      </c>
      <c r="AC302" s="1">
        <f t="shared" si="320"/>
        <v>0</v>
      </c>
      <c r="AD302" s="41">
        <v>0</v>
      </c>
      <c r="AE302" s="1">
        <f t="shared" si="321"/>
        <v>0</v>
      </c>
      <c r="AF302" s="1">
        <f t="shared" si="322"/>
        <v>0</v>
      </c>
    </row>
    <row r="303" spans="1:32" outlineLevel="2">
      <c r="A303" s="13">
        <v>23111</v>
      </c>
      <c r="B303" s="11">
        <v>13002</v>
      </c>
      <c r="C303" s="42" t="s">
        <v>802</v>
      </c>
      <c r="D303" s="7"/>
      <c r="E303" s="7"/>
      <c r="F303" s="7"/>
      <c r="G303" s="7"/>
      <c r="H303" s="7"/>
      <c r="I303" s="10"/>
      <c r="J303" s="10"/>
      <c r="K303" s="10"/>
      <c r="L303" s="7"/>
      <c r="M303" s="10"/>
      <c r="N303" s="7"/>
      <c r="O303" s="7"/>
      <c r="R303" s="41"/>
      <c r="T303" s="1"/>
      <c r="V303" s="1"/>
      <c r="W303" s="1">
        <v>0</v>
      </c>
      <c r="X303" s="1">
        <v>0</v>
      </c>
      <c r="Y303" s="41">
        <f t="shared" si="324"/>
        <v>0</v>
      </c>
      <c r="Z303" s="1">
        <f t="shared" si="325"/>
        <v>0</v>
      </c>
      <c r="AA303" s="41">
        <v>0</v>
      </c>
      <c r="AB303" s="41">
        <f t="shared" si="323"/>
        <v>0</v>
      </c>
      <c r="AC303" s="1">
        <f t="shared" si="320"/>
        <v>0</v>
      </c>
      <c r="AD303" s="41">
        <v>0</v>
      </c>
      <c r="AE303" s="1">
        <f t="shared" si="321"/>
        <v>0</v>
      </c>
      <c r="AF303" s="1">
        <f t="shared" si="322"/>
        <v>0</v>
      </c>
    </row>
    <row r="304" spans="1:32" outlineLevel="2">
      <c r="A304" s="42">
        <v>23111</v>
      </c>
      <c r="B304" s="11">
        <v>15100</v>
      </c>
      <c r="C304" s="42" t="s">
        <v>853</v>
      </c>
      <c r="D304" s="7"/>
      <c r="E304" s="7"/>
      <c r="F304" s="7"/>
      <c r="G304" s="7"/>
      <c r="H304" s="7"/>
      <c r="I304" s="10"/>
      <c r="J304" s="10"/>
      <c r="K304" s="10"/>
      <c r="L304" s="7"/>
      <c r="M304" s="10"/>
      <c r="N304" s="7"/>
      <c r="O304" s="7"/>
      <c r="R304" s="41"/>
      <c r="T304" s="1"/>
      <c r="V304" s="1"/>
      <c r="W304" s="1"/>
      <c r="Y304" s="41"/>
      <c r="Z304" s="1">
        <v>0</v>
      </c>
      <c r="AA304" s="41">
        <v>500</v>
      </c>
      <c r="AB304" s="41">
        <f t="shared" ref="AB304" si="326">AA304-Z304</f>
        <v>500</v>
      </c>
      <c r="AC304" s="1">
        <f t="shared" ref="AC304" si="327">Z304+AB304</f>
        <v>500</v>
      </c>
      <c r="AD304" s="41">
        <v>500</v>
      </c>
      <c r="AE304" s="1">
        <f t="shared" si="321"/>
        <v>0</v>
      </c>
      <c r="AF304" s="1">
        <f t="shared" si="322"/>
        <v>500</v>
      </c>
    </row>
    <row r="305" spans="1:32" outlineLevel="2">
      <c r="A305" s="13">
        <v>23111</v>
      </c>
      <c r="B305" s="60">
        <v>16000</v>
      </c>
      <c r="C305" s="56" t="s">
        <v>748</v>
      </c>
      <c r="D305" s="62"/>
      <c r="E305" s="64"/>
      <c r="F305" s="62"/>
      <c r="G305" s="64"/>
      <c r="H305" s="62"/>
      <c r="I305" s="64"/>
      <c r="J305" s="62"/>
      <c r="K305" s="64"/>
      <c r="L305" s="62"/>
      <c r="M305" s="63"/>
      <c r="N305" s="53"/>
      <c r="O305" s="53"/>
      <c r="P305" s="53"/>
      <c r="Q305" s="53"/>
      <c r="R305" s="58"/>
      <c r="S305" s="53"/>
      <c r="T305" s="53">
        <f t="shared" si="316"/>
        <v>0</v>
      </c>
      <c r="U305" s="63"/>
      <c r="V305" s="53">
        <f t="shared" si="317"/>
        <v>0</v>
      </c>
      <c r="W305" s="53">
        <f t="shared" si="318"/>
        <v>0</v>
      </c>
      <c r="X305" s="1">
        <v>0</v>
      </c>
      <c r="Y305" s="41">
        <f t="shared" si="300"/>
        <v>0</v>
      </c>
      <c r="Z305" s="1">
        <f t="shared" si="319"/>
        <v>0</v>
      </c>
      <c r="AA305" s="41">
        <v>0</v>
      </c>
      <c r="AB305" s="41">
        <f t="shared" si="323"/>
        <v>0</v>
      </c>
      <c r="AC305" s="1">
        <f t="shared" si="320"/>
        <v>0</v>
      </c>
      <c r="AD305" s="41">
        <v>64849.24</v>
      </c>
      <c r="AE305" s="1">
        <f t="shared" si="321"/>
        <v>64849.24</v>
      </c>
      <c r="AF305" s="1">
        <f t="shared" si="322"/>
        <v>64849.24</v>
      </c>
    </row>
    <row r="306" spans="1:32" outlineLevel="2">
      <c r="A306" s="13">
        <v>23111</v>
      </c>
      <c r="B306" s="11">
        <v>21200</v>
      </c>
      <c r="C306" s="11" t="s">
        <v>94</v>
      </c>
      <c r="D306" s="7"/>
      <c r="E306" s="7"/>
      <c r="F306" s="7"/>
      <c r="G306" s="7"/>
      <c r="H306" s="7">
        <v>0</v>
      </c>
      <c r="I306" s="7">
        <v>20000</v>
      </c>
      <c r="J306" s="7">
        <f t="shared" si="311"/>
        <v>-20000</v>
      </c>
      <c r="K306" s="7">
        <v>20000</v>
      </c>
      <c r="L306" s="7">
        <v>20000</v>
      </c>
      <c r="M306" s="10">
        <v>-15000</v>
      </c>
      <c r="N306" s="7">
        <f t="shared" si="312"/>
        <v>5000</v>
      </c>
      <c r="O306" s="7"/>
      <c r="Q306" s="1">
        <f t="shared" si="314"/>
        <v>5000</v>
      </c>
      <c r="T306" s="1">
        <f t="shared" si="316"/>
        <v>5000</v>
      </c>
      <c r="U306" s="1">
        <f t="shared" si="316"/>
        <v>5000</v>
      </c>
      <c r="V306" s="1">
        <f t="shared" si="317"/>
        <v>0</v>
      </c>
      <c r="W306" s="1">
        <f t="shared" si="318"/>
        <v>5000</v>
      </c>
      <c r="X306" s="1">
        <v>5000</v>
      </c>
      <c r="Y306" s="41">
        <f t="shared" si="300"/>
        <v>0</v>
      </c>
      <c r="Z306" s="1">
        <f t="shared" si="319"/>
        <v>5000</v>
      </c>
      <c r="AA306" s="41">
        <v>1000</v>
      </c>
      <c r="AB306" s="41">
        <f t="shared" si="323"/>
        <v>-4000</v>
      </c>
      <c r="AC306" s="1">
        <f t="shared" si="320"/>
        <v>1000</v>
      </c>
      <c r="AD306" s="41">
        <v>8000</v>
      </c>
      <c r="AE306" s="1">
        <f t="shared" si="321"/>
        <v>7000</v>
      </c>
      <c r="AF306" s="1">
        <f t="shared" si="322"/>
        <v>8000</v>
      </c>
    </row>
    <row r="307" spans="1:32" outlineLevel="2">
      <c r="A307" s="13">
        <v>23111</v>
      </c>
      <c r="B307" s="11">
        <v>22000</v>
      </c>
      <c r="C307" s="11" t="s">
        <v>334</v>
      </c>
      <c r="D307" s="7">
        <v>500</v>
      </c>
      <c r="E307" s="7"/>
      <c r="F307" s="7">
        <f t="shared" ref="F307:F316" si="328">D307-E307</f>
        <v>500</v>
      </c>
      <c r="G307" s="7"/>
      <c r="H307" s="7">
        <f t="shared" ref="H307:H316" si="329">D307+G307</f>
        <v>500</v>
      </c>
      <c r="I307" s="7"/>
      <c r="J307" s="7">
        <f t="shared" si="311"/>
        <v>500</v>
      </c>
      <c r="K307" s="7"/>
      <c r="L307" s="7">
        <v>500</v>
      </c>
      <c r="M307" s="10">
        <v>0</v>
      </c>
      <c r="N307" s="7">
        <f t="shared" si="312"/>
        <v>500</v>
      </c>
      <c r="O307" s="7"/>
      <c r="Q307" s="1">
        <f t="shared" si="314"/>
        <v>500</v>
      </c>
      <c r="T307" s="1">
        <f t="shared" si="316"/>
        <v>500</v>
      </c>
      <c r="U307" s="1">
        <f t="shared" si="316"/>
        <v>500</v>
      </c>
      <c r="V307" s="1">
        <f t="shared" si="317"/>
        <v>0</v>
      </c>
      <c r="W307" s="1">
        <f t="shared" si="318"/>
        <v>500</v>
      </c>
      <c r="X307" s="1">
        <v>500</v>
      </c>
      <c r="Y307" s="41">
        <f t="shared" si="300"/>
        <v>0</v>
      </c>
      <c r="Z307" s="1">
        <f t="shared" si="319"/>
        <v>500</v>
      </c>
      <c r="AA307" s="1">
        <v>500</v>
      </c>
      <c r="AB307" s="41">
        <f t="shared" si="323"/>
        <v>0</v>
      </c>
      <c r="AC307" s="1">
        <f t="shared" si="320"/>
        <v>500</v>
      </c>
      <c r="AD307" s="41">
        <v>500</v>
      </c>
      <c r="AE307" s="1">
        <f t="shared" si="321"/>
        <v>0</v>
      </c>
      <c r="AF307" s="1">
        <f t="shared" si="322"/>
        <v>500</v>
      </c>
    </row>
    <row r="308" spans="1:32" outlineLevel="2">
      <c r="A308" s="13">
        <v>23111</v>
      </c>
      <c r="B308" s="11">
        <v>22400</v>
      </c>
      <c r="C308" s="11" t="s">
        <v>664</v>
      </c>
      <c r="D308" s="7"/>
      <c r="E308" s="7"/>
      <c r="F308" s="7"/>
      <c r="G308" s="7"/>
      <c r="H308" s="7"/>
      <c r="I308" s="7"/>
      <c r="J308" s="7"/>
      <c r="K308" s="7"/>
      <c r="L308" s="7"/>
      <c r="M308" s="10"/>
      <c r="N308" s="7">
        <v>0</v>
      </c>
      <c r="O308" s="7"/>
      <c r="P308" s="1">
        <v>5000</v>
      </c>
      <c r="Q308" s="1">
        <f t="shared" si="314"/>
        <v>5000</v>
      </c>
      <c r="T308" s="1">
        <f t="shared" si="316"/>
        <v>5000</v>
      </c>
      <c r="U308" s="1">
        <f t="shared" si="316"/>
        <v>5000</v>
      </c>
      <c r="V308" s="1">
        <f t="shared" si="317"/>
        <v>0</v>
      </c>
      <c r="W308" s="1">
        <f t="shared" si="318"/>
        <v>5000</v>
      </c>
      <c r="X308" s="1">
        <v>0</v>
      </c>
      <c r="Y308" s="41">
        <f t="shared" si="300"/>
        <v>-5000</v>
      </c>
      <c r="Z308" s="1">
        <f t="shared" si="319"/>
        <v>0</v>
      </c>
      <c r="AA308" s="1">
        <v>0</v>
      </c>
      <c r="AB308" s="41">
        <f t="shared" si="323"/>
        <v>0</v>
      </c>
      <c r="AC308" s="1">
        <f t="shared" si="320"/>
        <v>0</v>
      </c>
      <c r="AD308" s="41">
        <v>0</v>
      </c>
      <c r="AE308" s="1">
        <f t="shared" si="321"/>
        <v>0</v>
      </c>
      <c r="AF308" s="1">
        <f t="shared" si="322"/>
        <v>0</v>
      </c>
    </row>
    <row r="309" spans="1:32" outlineLevel="2">
      <c r="A309" s="13">
        <v>23111</v>
      </c>
      <c r="B309" s="11">
        <v>22602</v>
      </c>
      <c r="C309" s="11" t="s">
        <v>87</v>
      </c>
      <c r="D309" s="7">
        <v>8500</v>
      </c>
      <c r="E309" s="7">
        <v>11500</v>
      </c>
      <c r="F309" s="7">
        <f t="shared" si="328"/>
        <v>-3000</v>
      </c>
      <c r="G309" s="7">
        <v>3000</v>
      </c>
      <c r="H309" s="7">
        <f t="shared" si="329"/>
        <v>11500</v>
      </c>
      <c r="I309" s="7">
        <v>11000</v>
      </c>
      <c r="J309" s="7">
        <f t="shared" si="311"/>
        <v>500</v>
      </c>
      <c r="K309" s="7">
        <v>-1500</v>
      </c>
      <c r="L309" s="7">
        <v>10000</v>
      </c>
      <c r="M309" s="10">
        <v>-2500</v>
      </c>
      <c r="N309" s="7">
        <f t="shared" si="312"/>
        <v>7500</v>
      </c>
      <c r="O309" s="7"/>
      <c r="P309" s="7"/>
      <c r="Q309" s="1">
        <f t="shared" si="314"/>
        <v>7500</v>
      </c>
      <c r="S309" s="7"/>
      <c r="T309" s="1">
        <f t="shared" si="316"/>
        <v>7500</v>
      </c>
      <c r="U309" s="1">
        <f t="shared" si="316"/>
        <v>7500</v>
      </c>
      <c r="V309" s="1">
        <f t="shared" si="317"/>
        <v>0</v>
      </c>
      <c r="W309" s="1">
        <f t="shared" si="318"/>
        <v>7500</v>
      </c>
      <c r="X309" s="1">
        <v>6500</v>
      </c>
      <c r="Y309" s="41">
        <f t="shared" si="300"/>
        <v>-1000</v>
      </c>
      <c r="Z309" s="1">
        <f t="shared" si="319"/>
        <v>6500</v>
      </c>
      <c r="AA309" s="1">
        <v>6500</v>
      </c>
      <c r="AB309" s="41">
        <f t="shared" si="323"/>
        <v>0</v>
      </c>
      <c r="AC309" s="1">
        <f t="shared" si="320"/>
        <v>6500</v>
      </c>
      <c r="AD309" s="41">
        <v>6500</v>
      </c>
      <c r="AE309" s="1">
        <f t="shared" si="321"/>
        <v>0</v>
      </c>
      <c r="AF309" s="1">
        <f t="shared" si="322"/>
        <v>6500</v>
      </c>
    </row>
    <row r="310" spans="1:32" outlineLevel="2">
      <c r="A310" s="13">
        <v>23111</v>
      </c>
      <c r="B310" s="11">
        <v>22606</v>
      </c>
      <c r="C310" s="42" t="s">
        <v>831</v>
      </c>
      <c r="D310" s="7">
        <v>0</v>
      </c>
      <c r="E310" s="7">
        <v>6000</v>
      </c>
      <c r="F310" s="7">
        <f t="shared" si="328"/>
        <v>-6000</v>
      </c>
      <c r="G310" s="7">
        <v>6000</v>
      </c>
      <c r="H310" s="7">
        <f t="shared" si="329"/>
        <v>6000</v>
      </c>
      <c r="I310" s="7">
        <v>4000</v>
      </c>
      <c r="J310" s="7">
        <f t="shared" si="311"/>
        <v>2000</v>
      </c>
      <c r="K310" s="7">
        <v>-2000</v>
      </c>
      <c r="L310" s="7">
        <v>4000</v>
      </c>
      <c r="M310" s="10">
        <v>4000</v>
      </c>
      <c r="N310" s="7">
        <f t="shared" si="312"/>
        <v>8000</v>
      </c>
      <c r="O310" s="7"/>
      <c r="P310" s="1">
        <v>-8000</v>
      </c>
      <c r="Q310" s="1">
        <f t="shared" si="314"/>
        <v>0</v>
      </c>
      <c r="T310" s="1">
        <f t="shared" si="316"/>
        <v>0</v>
      </c>
      <c r="U310" s="1">
        <v>4000</v>
      </c>
      <c r="V310" s="1">
        <f t="shared" si="317"/>
        <v>4000</v>
      </c>
      <c r="W310" s="1">
        <f t="shared" si="318"/>
        <v>4000</v>
      </c>
      <c r="X310" s="1">
        <v>4000</v>
      </c>
      <c r="Y310" s="41">
        <f t="shared" si="300"/>
        <v>0</v>
      </c>
      <c r="Z310" s="1">
        <f t="shared" si="319"/>
        <v>4000</v>
      </c>
      <c r="AA310" s="1">
        <f>1500+6000</f>
        <v>7500</v>
      </c>
      <c r="AB310" s="41">
        <f t="shared" si="323"/>
        <v>3500</v>
      </c>
      <c r="AC310" s="1">
        <f t="shared" si="320"/>
        <v>7500</v>
      </c>
      <c r="AD310" s="41">
        <v>7500</v>
      </c>
      <c r="AE310" s="1">
        <f t="shared" si="321"/>
        <v>0</v>
      </c>
      <c r="AF310" s="1">
        <f t="shared" si="322"/>
        <v>7500</v>
      </c>
    </row>
    <row r="311" spans="1:32" outlineLevel="2">
      <c r="A311" s="13">
        <v>23111</v>
      </c>
      <c r="B311" s="11">
        <v>22799</v>
      </c>
      <c r="C311" s="11" t="s">
        <v>335</v>
      </c>
      <c r="D311" s="7">
        <v>28250</v>
      </c>
      <c r="E311" s="7">
        <v>26500</v>
      </c>
      <c r="F311" s="7">
        <f t="shared" si="328"/>
        <v>1750</v>
      </c>
      <c r="G311" s="7">
        <v>-1750</v>
      </c>
      <c r="H311" s="7">
        <f t="shared" si="329"/>
        <v>26500</v>
      </c>
      <c r="I311" s="7">
        <v>23000</v>
      </c>
      <c r="J311" s="7">
        <f t="shared" si="311"/>
        <v>3500</v>
      </c>
      <c r="K311" s="7">
        <v>-3500</v>
      </c>
      <c r="L311" s="7">
        <v>23000</v>
      </c>
      <c r="M311" s="10">
        <v>0</v>
      </c>
      <c r="N311" s="7">
        <f t="shared" si="312"/>
        <v>23000</v>
      </c>
      <c r="O311" s="7"/>
      <c r="Q311" s="1">
        <f t="shared" si="314"/>
        <v>23000</v>
      </c>
      <c r="T311" s="1">
        <f t="shared" si="316"/>
        <v>23000</v>
      </c>
      <c r="U311" s="1">
        <f t="shared" si="316"/>
        <v>23000</v>
      </c>
      <c r="V311" s="1">
        <f t="shared" si="317"/>
        <v>0</v>
      </c>
      <c r="W311" s="1">
        <f t="shared" si="318"/>
        <v>23000</v>
      </c>
      <c r="X311" s="1">
        <v>23000</v>
      </c>
      <c r="Y311" s="41">
        <f t="shared" si="300"/>
        <v>0</v>
      </c>
      <c r="Z311" s="1">
        <f t="shared" si="319"/>
        <v>23000</v>
      </c>
      <c r="AA311" s="1">
        <v>23000</v>
      </c>
      <c r="AB311" s="41">
        <f t="shared" si="323"/>
        <v>0</v>
      </c>
      <c r="AC311" s="1">
        <f t="shared" si="320"/>
        <v>23000</v>
      </c>
      <c r="AD311" s="41">
        <v>23000</v>
      </c>
      <c r="AE311" s="1">
        <f t="shared" si="321"/>
        <v>0</v>
      </c>
      <c r="AF311" s="1">
        <f t="shared" si="322"/>
        <v>23000</v>
      </c>
    </row>
    <row r="312" spans="1:32" outlineLevel="2">
      <c r="A312" s="13">
        <v>23111</v>
      </c>
      <c r="B312" s="11">
        <v>22706</v>
      </c>
      <c r="C312" s="11" t="s">
        <v>88</v>
      </c>
      <c r="D312" s="7">
        <v>0</v>
      </c>
      <c r="E312" s="7">
        <f>31548.8+11588.1+71050+26400</f>
        <v>140586.9</v>
      </c>
      <c r="F312" s="7">
        <f t="shared" si="328"/>
        <v>-140586.9</v>
      </c>
      <c r="G312" s="7">
        <v>140586.9</v>
      </c>
      <c r="H312" s="7">
        <f t="shared" si="329"/>
        <v>140586.9</v>
      </c>
      <c r="I312" s="7">
        <f>80200+28000+18500</f>
        <v>126700</v>
      </c>
      <c r="J312" s="7">
        <f t="shared" si="311"/>
        <v>13886.899999999994</v>
      </c>
      <c r="K312" s="7">
        <v>-13886.9</v>
      </c>
      <c r="L312" s="7">
        <v>126700</v>
      </c>
      <c r="M312" s="10">
        <f>132000-L312</f>
        <v>5300</v>
      </c>
      <c r="N312" s="7">
        <f t="shared" si="312"/>
        <v>132000</v>
      </c>
      <c r="O312" s="7"/>
      <c r="Q312" s="1">
        <f t="shared" si="314"/>
        <v>132000</v>
      </c>
      <c r="R312" s="1">
        <v>30800</v>
      </c>
      <c r="T312" s="1">
        <f t="shared" si="316"/>
        <v>132000</v>
      </c>
      <c r="U312" s="1">
        <v>136000</v>
      </c>
      <c r="V312" s="1">
        <f t="shared" si="317"/>
        <v>4000</v>
      </c>
      <c r="W312" s="1">
        <f t="shared" si="318"/>
        <v>136000</v>
      </c>
      <c r="X312" s="1">
        <f>86000+27000+56940+15000</f>
        <v>184940</v>
      </c>
      <c r="Y312" s="41">
        <f t="shared" si="300"/>
        <v>48940</v>
      </c>
      <c r="Z312" s="1">
        <f t="shared" si="319"/>
        <v>184940</v>
      </c>
      <c r="AA312" s="1">
        <f>86000+27000+15000</f>
        <v>128000</v>
      </c>
      <c r="AB312" s="41">
        <f t="shared" si="323"/>
        <v>-56940</v>
      </c>
      <c r="AC312" s="1">
        <f t="shared" si="320"/>
        <v>128000</v>
      </c>
      <c r="AD312" s="41">
        <v>128000</v>
      </c>
      <c r="AE312" s="1">
        <f t="shared" si="321"/>
        <v>0</v>
      </c>
      <c r="AF312" s="1">
        <f t="shared" si="322"/>
        <v>128000</v>
      </c>
    </row>
    <row r="313" spans="1:32" outlineLevel="2">
      <c r="A313" s="13">
        <v>23111</v>
      </c>
      <c r="B313" s="11">
        <v>48900</v>
      </c>
      <c r="C313" s="11" t="s">
        <v>636</v>
      </c>
      <c r="D313" s="7"/>
      <c r="E313" s="7"/>
      <c r="F313" s="7"/>
      <c r="G313" s="7"/>
      <c r="H313" s="7"/>
      <c r="I313" s="7"/>
      <c r="J313" s="7"/>
      <c r="K313" s="7"/>
      <c r="L313" s="7">
        <v>0</v>
      </c>
      <c r="M313" s="10">
        <v>44700</v>
      </c>
      <c r="N313" s="7">
        <f t="shared" si="312"/>
        <v>44700</v>
      </c>
      <c r="O313" s="7"/>
      <c r="P313" s="1">
        <f>32000-N313</f>
        <v>-12700</v>
      </c>
      <c r="Q313" s="1">
        <f t="shared" si="314"/>
        <v>32000</v>
      </c>
      <c r="T313" s="1">
        <f t="shared" si="316"/>
        <v>32000</v>
      </c>
      <c r="U313" s="1">
        <f t="shared" si="316"/>
        <v>32000</v>
      </c>
      <c r="V313" s="1">
        <f t="shared" si="317"/>
        <v>0</v>
      </c>
      <c r="W313" s="1">
        <f t="shared" si="318"/>
        <v>32000</v>
      </c>
      <c r="X313" s="1">
        <v>42000</v>
      </c>
      <c r="Y313" s="41">
        <f t="shared" si="300"/>
        <v>10000</v>
      </c>
      <c r="Z313" s="1">
        <f t="shared" si="319"/>
        <v>42000</v>
      </c>
      <c r="AA313" s="1">
        <v>42000</v>
      </c>
      <c r="AB313" s="41">
        <f t="shared" si="323"/>
        <v>0</v>
      </c>
      <c r="AC313" s="1">
        <f t="shared" si="320"/>
        <v>42000</v>
      </c>
      <c r="AD313" s="41">
        <v>42000</v>
      </c>
      <c r="AE313" s="1">
        <f t="shared" si="321"/>
        <v>0</v>
      </c>
      <c r="AF313" s="1">
        <f t="shared" si="322"/>
        <v>42000</v>
      </c>
    </row>
    <row r="314" spans="1:32" outlineLevel="2">
      <c r="A314" s="13">
        <v>23111</v>
      </c>
      <c r="B314" s="11">
        <v>48901</v>
      </c>
      <c r="C314" s="11" t="s">
        <v>336</v>
      </c>
      <c r="D314" s="7">
        <v>30000</v>
      </c>
      <c r="E314" s="7">
        <v>31000</v>
      </c>
      <c r="F314" s="7">
        <f t="shared" si="328"/>
        <v>-1000</v>
      </c>
      <c r="G314" s="7">
        <v>1000</v>
      </c>
      <c r="H314" s="7">
        <f t="shared" si="329"/>
        <v>31000</v>
      </c>
      <c r="I314" s="7">
        <v>31000</v>
      </c>
      <c r="J314" s="7">
        <f t="shared" si="311"/>
        <v>0</v>
      </c>
      <c r="K314" s="7">
        <v>0</v>
      </c>
      <c r="L314" s="7">
        <v>31000</v>
      </c>
      <c r="M314" s="10">
        <v>0</v>
      </c>
      <c r="N314" s="7">
        <f t="shared" si="312"/>
        <v>31000</v>
      </c>
      <c r="O314" s="7"/>
      <c r="Q314" s="1">
        <f t="shared" si="314"/>
        <v>31000</v>
      </c>
      <c r="T314" s="1">
        <f t="shared" si="316"/>
        <v>31000</v>
      </c>
      <c r="U314" s="1">
        <f t="shared" si="316"/>
        <v>31000</v>
      </c>
      <c r="V314" s="1">
        <f t="shared" si="317"/>
        <v>0</v>
      </c>
      <c r="W314" s="1">
        <f t="shared" si="318"/>
        <v>31000</v>
      </c>
      <c r="X314" s="1">
        <v>31000</v>
      </c>
      <c r="Y314" s="41">
        <f t="shared" si="300"/>
        <v>0</v>
      </c>
      <c r="Z314" s="1">
        <f t="shared" si="319"/>
        <v>31000</v>
      </c>
      <c r="AA314" s="1">
        <v>31000</v>
      </c>
      <c r="AB314" s="41">
        <f t="shared" si="323"/>
        <v>0</v>
      </c>
      <c r="AC314" s="1">
        <f t="shared" si="320"/>
        <v>31000</v>
      </c>
      <c r="AD314" s="41">
        <v>62000</v>
      </c>
      <c r="AE314" s="1">
        <f t="shared" si="321"/>
        <v>31000</v>
      </c>
      <c r="AF314" s="1">
        <f t="shared" si="322"/>
        <v>62000</v>
      </c>
    </row>
    <row r="315" spans="1:32" outlineLevel="2">
      <c r="A315" s="13">
        <v>23111</v>
      </c>
      <c r="B315" s="11">
        <v>48902</v>
      </c>
      <c r="C315" s="11" t="s">
        <v>337</v>
      </c>
      <c r="D315" s="7">
        <v>24000</v>
      </c>
      <c r="E315" s="7">
        <v>26000</v>
      </c>
      <c r="F315" s="7">
        <f t="shared" si="328"/>
        <v>-2000</v>
      </c>
      <c r="G315" s="7">
        <v>2000</v>
      </c>
      <c r="H315" s="7">
        <f t="shared" si="329"/>
        <v>26000</v>
      </c>
      <c r="I315" s="7">
        <v>31000</v>
      </c>
      <c r="J315" s="7">
        <f t="shared" si="311"/>
        <v>-5000</v>
      </c>
      <c r="K315" s="7">
        <v>5000</v>
      </c>
      <c r="L315" s="7">
        <v>31000</v>
      </c>
      <c r="M315" s="10">
        <v>0</v>
      </c>
      <c r="N315" s="7">
        <f t="shared" si="312"/>
        <v>31000</v>
      </c>
      <c r="O315" s="7"/>
      <c r="Q315" s="1">
        <f t="shared" si="314"/>
        <v>31000</v>
      </c>
      <c r="T315" s="1">
        <f t="shared" si="316"/>
        <v>31000</v>
      </c>
      <c r="U315" s="1">
        <f t="shared" si="316"/>
        <v>31000</v>
      </c>
      <c r="V315" s="1">
        <f t="shared" si="317"/>
        <v>0</v>
      </c>
      <c r="W315" s="1">
        <f t="shared" si="318"/>
        <v>31000</v>
      </c>
      <c r="X315" s="1">
        <v>31000</v>
      </c>
      <c r="Y315" s="41">
        <f t="shared" si="300"/>
        <v>0</v>
      </c>
      <c r="Z315" s="1">
        <f t="shared" si="319"/>
        <v>31000</v>
      </c>
      <c r="AA315" s="1">
        <v>31000</v>
      </c>
      <c r="AB315" s="41">
        <f t="shared" si="323"/>
        <v>0</v>
      </c>
      <c r="AC315" s="1">
        <f t="shared" si="320"/>
        <v>31000</v>
      </c>
      <c r="AD315" s="41">
        <v>0</v>
      </c>
      <c r="AE315" s="1">
        <f t="shared" si="321"/>
        <v>-31000</v>
      </c>
      <c r="AF315" s="1">
        <f t="shared" si="322"/>
        <v>0</v>
      </c>
    </row>
    <row r="316" spans="1:32" outlineLevel="2">
      <c r="A316" s="13">
        <v>23111</v>
      </c>
      <c r="B316" s="11">
        <v>48903</v>
      </c>
      <c r="C316" s="35" t="s">
        <v>635</v>
      </c>
      <c r="D316" s="7">
        <v>0</v>
      </c>
      <c r="E316" s="7">
        <v>20000</v>
      </c>
      <c r="F316" s="7">
        <f t="shared" si="328"/>
        <v>-20000</v>
      </c>
      <c r="G316" s="7">
        <v>20000</v>
      </c>
      <c r="H316" s="7">
        <f t="shared" si="329"/>
        <v>20000</v>
      </c>
      <c r="I316" s="7">
        <v>18000</v>
      </c>
      <c r="J316" s="7">
        <f t="shared" si="311"/>
        <v>2000</v>
      </c>
      <c r="K316" s="7">
        <v>-2000</v>
      </c>
      <c r="L316" s="7">
        <v>18000</v>
      </c>
      <c r="M316" s="10">
        <v>-1500</v>
      </c>
      <c r="N316" s="7">
        <f t="shared" si="312"/>
        <v>16500</v>
      </c>
      <c r="O316" s="7"/>
      <c r="Q316" s="1">
        <f t="shared" si="314"/>
        <v>16500</v>
      </c>
      <c r="T316" s="1">
        <f t="shared" si="316"/>
        <v>16500</v>
      </c>
      <c r="U316" s="1">
        <f t="shared" si="316"/>
        <v>16500</v>
      </c>
      <c r="V316" s="1">
        <f t="shared" si="317"/>
        <v>0</v>
      </c>
      <c r="W316" s="1">
        <f t="shared" si="318"/>
        <v>16500</v>
      </c>
      <c r="X316" s="1">
        <v>16500</v>
      </c>
      <c r="Y316" s="41">
        <f t="shared" si="300"/>
        <v>0</v>
      </c>
      <c r="Z316" s="1">
        <f t="shared" si="319"/>
        <v>16500</v>
      </c>
      <c r="AA316" s="1">
        <v>18000</v>
      </c>
      <c r="AB316" s="41">
        <f t="shared" si="323"/>
        <v>1500</v>
      </c>
      <c r="AC316" s="1">
        <f t="shared" si="320"/>
        <v>18000</v>
      </c>
      <c r="AD316" s="41">
        <v>18000</v>
      </c>
      <c r="AE316" s="1">
        <f t="shared" si="321"/>
        <v>0</v>
      </c>
      <c r="AF316" s="1">
        <f t="shared" si="322"/>
        <v>18000</v>
      </c>
    </row>
    <row r="317" spans="1:32" outlineLevel="2">
      <c r="A317" s="42">
        <v>23111</v>
      </c>
      <c r="B317" s="11">
        <v>48100</v>
      </c>
      <c r="C317" s="39" t="s">
        <v>830</v>
      </c>
      <c r="D317" s="7"/>
      <c r="E317" s="7"/>
      <c r="F317" s="7"/>
      <c r="G317" s="7"/>
      <c r="H317" s="7"/>
      <c r="I317" s="7"/>
      <c r="J317" s="7"/>
      <c r="K317" s="7"/>
      <c r="L317" s="7"/>
      <c r="M317" s="10"/>
      <c r="N317" s="7"/>
      <c r="O317" s="7"/>
      <c r="T317" s="1"/>
      <c r="V317" s="1"/>
      <c r="W317" s="1"/>
      <c r="Y317" s="41"/>
      <c r="Z317" s="1">
        <v>0</v>
      </c>
      <c r="AA317" s="1">
        <f>56940+2664.08</f>
        <v>59604.08</v>
      </c>
      <c r="AB317" s="41">
        <f t="shared" ref="AB317" si="330">AA317-Z317</f>
        <v>59604.08</v>
      </c>
      <c r="AC317" s="1">
        <f t="shared" si="320"/>
        <v>59604.08</v>
      </c>
      <c r="AD317" s="41">
        <v>56940</v>
      </c>
      <c r="AE317" s="1">
        <f t="shared" si="321"/>
        <v>-2664.0800000000017</v>
      </c>
      <c r="AF317" s="1">
        <f t="shared" si="322"/>
        <v>56940</v>
      </c>
    </row>
    <row r="318" spans="1:32" outlineLevel="2">
      <c r="A318" s="13">
        <v>23111</v>
      </c>
      <c r="B318" s="11">
        <v>62500</v>
      </c>
      <c r="C318" s="39" t="s">
        <v>736</v>
      </c>
      <c r="D318" s="7"/>
      <c r="E318" s="7"/>
      <c r="F318" s="7"/>
      <c r="G318" s="7"/>
      <c r="H318" s="7"/>
      <c r="I318" s="7"/>
      <c r="J318" s="7"/>
      <c r="K318" s="7"/>
      <c r="L318" s="7"/>
      <c r="M318" s="10"/>
      <c r="N318" s="7"/>
      <c r="O318" s="7"/>
      <c r="T318" s="1">
        <v>0</v>
      </c>
      <c r="U318" s="1">
        <v>4000</v>
      </c>
      <c r="V318" s="1">
        <f t="shared" ref="V318" si="331">U318-T318</f>
        <v>4000</v>
      </c>
      <c r="W318" s="1">
        <f t="shared" ref="W318" si="332">T318+V318</f>
        <v>4000</v>
      </c>
      <c r="X318" s="1">
        <v>10000</v>
      </c>
      <c r="Y318" s="41">
        <f t="shared" si="300"/>
        <v>6000</v>
      </c>
      <c r="Z318" s="1">
        <f t="shared" si="319"/>
        <v>10000</v>
      </c>
      <c r="AA318" s="1">
        <v>10000</v>
      </c>
      <c r="AB318" s="41">
        <f t="shared" si="323"/>
        <v>0</v>
      </c>
      <c r="AC318" s="1">
        <f t="shared" si="320"/>
        <v>10000</v>
      </c>
      <c r="AD318" s="41">
        <v>0</v>
      </c>
      <c r="AE318" s="1">
        <f t="shared" si="321"/>
        <v>-10000</v>
      </c>
      <c r="AF318" s="1">
        <f t="shared" si="322"/>
        <v>0</v>
      </c>
    </row>
    <row r="319" spans="1:32" outlineLevel="2">
      <c r="A319" s="9" t="s">
        <v>784</v>
      </c>
      <c r="B319" s="9"/>
      <c r="C319" s="9" t="s">
        <v>45</v>
      </c>
      <c r="D319" s="8">
        <f t="shared" ref="D319:Q319" si="333">SUBTOTAL(9,D296:D316)</f>
        <v>122060.19</v>
      </c>
      <c r="E319" s="8">
        <f t="shared" si="333"/>
        <v>391239.19</v>
      </c>
      <c r="F319" s="8">
        <f t="shared" si="333"/>
        <v>-269179</v>
      </c>
      <c r="G319" s="8">
        <f t="shared" si="333"/>
        <v>269679</v>
      </c>
      <c r="H319" s="8">
        <f t="shared" si="333"/>
        <v>391739.19</v>
      </c>
      <c r="I319" s="8">
        <f t="shared" si="333"/>
        <v>395470.48</v>
      </c>
      <c r="J319" s="8">
        <f t="shared" si="333"/>
        <v>-3731.2900000000081</v>
      </c>
      <c r="K319" s="8">
        <f t="shared" si="333"/>
        <v>3231.2899999999991</v>
      </c>
      <c r="L319" s="8">
        <f t="shared" si="333"/>
        <v>394970.48</v>
      </c>
      <c r="M319" s="8">
        <f t="shared" si="333"/>
        <v>127223.20999999999</v>
      </c>
      <c r="N319" s="8">
        <f t="shared" si="333"/>
        <v>522193.68999999994</v>
      </c>
      <c r="O319" s="8">
        <f t="shared" si="333"/>
        <v>163290.62</v>
      </c>
      <c r="P319" s="8">
        <f t="shared" si="333"/>
        <v>-75403.070000000007</v>
      </c>
      <c r="Q319" s="8">
        <f t="shared" si="333"/>
        <v>446790.62</v>
      </c>
      <c r="S319" s="8">
        <f>SUBTOTAL(9,S296:S316)</f>
        <v>60717.72</v>
      </c>
      <c r="T319" s="8">
        <f>SUBTOTAL(9,T296:T318)</f>
        <v>507508.33999999997</v>
      </c>
      <c r="U319" s="8">
        <f>SUBTOTAL(9,U296:U318)</f>
        <v>520175.82999999996</v>
      </c>
      <c r="V319" s="8">
        <f>SUBTOTAL(9,V296:V318)</f>
        <v>12667.490000000002</v>
      </c>
      <c r="W319" s="8">
        <f>SUBTOTAL(9,W296:W318)</f>
        <v>520175.82999999996</v>
      </c>
      <c r="X319" s="8">
        <f t="shared" ref="X319:Y319" si="334">SUBTOTAL(9,X296:X318)</f>
        <v>594003.96</v>
      </c>
      <c r="Y319" s="8">
        <f t="shared" si="334"/>
        <v>73828.13</v>
      </c>
      <c r="Z319" s="8">
        <f>SUBTOTAL(9,Z296:Z318)</f>
        <v>594003.96</v>
      </c>
      <c r="AA319" s="8">
        <f t="shared" ref="AA319:AB319" si="335">SUBTOTAL(9,AA296:AA318)</f>
        <v>590954.74</v>
      </c>
      <c r="AB319" s="8">
        <f t="shared" si="335"/>
        <v>-3049.2199999999866</v>
      </c>
      <c r="AC319" s="8">
        <f>SUBTOTAL(9,AC296:AC318)</f>
        <v>590954.74</v>
      </c>
      <c r="AD319" s="8">
        <f t="shared" ref="AD319:AF319" si="336">SUBTOTAL(9,AD296:AD318)</f>
        <v>658459.13</v>
      </c>
      <c r="AE319" s="8">
        <f t="shared" si="336"/>
        <v>67504.389999999985</v>
      </c>
      <c r="AF319" s="8">
        <f t="shared" si="336"/>
        <v>658459.13</v>
      </c>
    </row>
    <row r="320" spans="1:32" outlineLevel="2">
      <c r="A320" s="11">
        <v>23112</v>
      </c>
      <c r="B320" s="11">
        <v>20200</v>
      </c>
      <c r="C320" s="11" t="s">
        <v>89</v>
      </c>
      <c r="D320" s="7">
        <v>0</v>
      </c>
      <c r="E320" s="7">
        <f>33023.16*1.17/1.16</f>
        <v>33307.842413793107</v>
      </c>
      <c r="F320" s="7">
        <f t="shared" ref="F320:F330" si="337">D320-E320</f>
        <v>-33307.842413793107</v>
      </c>
      <c r="G320" s="7">
        <v>33307.839999999997</v>
      </c>
      <c r="H320" s="10">
        <f t="shared" ref="H320:H330" si="338">D320+G320</f>
        <v>33307.839999999997</v>
      </c>
      <c r="I320" s="16"/>
      <c r="J320" s="16">
        <f t="shared" ref="J320:J330" si="339">H320-I320</f>
        <v>33307.839999999997</v>
      </c>
      <c r="K320" s="16"/>
      <c r="L320" s="1">
        <f t="shared" ref="L320:L330" si="340">H320+K320</f>
        <v>33307.839999999997</v>
      </c>
      <c r="N320" s="1">
        <f t="shared" ref="N320:N365" si="341">L320+M320</f>
        <v>33307.839999999997</v>
      </c>
      <c r="O320" s="1"/>
      <c r="Q320" s="1">
        <f t="shared" ref="Q320:Q330" si="342">N320+P320</f>
        <v>33307.839999999997</v>
      </c>
      <c r="R320" s="1">
        <f>12443+17070</f>
        <v>29513</v>
      </c>
      <c r="T320" s="1">
        <f t="shared" ref="T320:U330" si="343">Q320+S320</f>
        <v>33307.839999999997</v>
      </c>
      <c r="U320" s="1">
        <v>35422.49</v>
      </c>
      <c r="V320" s="1">
        <f t="shared" ref="V320:V330" si="344">U320-T320</f>
        <v>2114.6500000000015</v>
      </c>
      <c r="W320" s="1">
        <f t="shared" ref="W320:W330" si="345">T320+V320</f>
        <v>35422.49</v>
      </c>
      <c r="X320" s="1">
        <v>35662.75</v>
      </c>
      <c r="Y320" s="41">
        <f t="shared" si="300"/>
        <v>240.26000000000204</v>
      </c>
      <c r="Z320" s="1">
        <f>W320+Y320</f>
        <v>35662.75</v>
      </c>
      <c r="AA320" s="1">
        <v>35662.75</v>
      </c>
      <c r="AB320" s="1">
        <f>AA320-Z320</f>
        <v>0</v>
      </c>
      <c r="AC320" s="1">
        <f t="shared" ref="AC320:AC330" si="346">Z320+AB320</f>
        <v>35662.75</v>
      </c>
      <c r="AD320" s="41">
        <f>AC320-20466.52</f>
        <v>15196.23</v>
      </c>
      <c r="AE320" s="1">
        <f t="shared" ref="AE320:AE331" si="347">AD320-AC320</f>
        <v>-20466.52</v>
      </c>
      <c r="AF320" s="1">
        <f t="shared" ref="AF320:AF385" si="348">AC320+AE320</f>
        <v>15196.23</v>
      </c>
    </row>
    <row r="321" spans="1:32" outlineLevel="2">
      <c r="A321" s="11">
        <v>23112</v>
      </c>
      <c r="B321" s="11">
        <v>20300</v>
      </c>
      <c r="C321" s="11" t="s">
        <v>492</v>
      </c>
      <c r="D321" s="7">
        <v>120.2</v>
      </c>
      <c r="E321" s="7"/>
      <c r="F321" s="7">
        <f t="shared" si="337"/>
        <v>120.2</v>
      </c>
      <c r="G321" s="7"/>
      <c r="H321" s="10">
        <f t="shared" si="338"/>
        <v>120.2</v>
      </c>
      <c r="I321" s="16"/>
      <c r="J321" s="16">
        <f t="shared" si="339"/>
        <v>120.2</v>
      </c>
      <c r="K321" s="16"/>
      <c r="L321" s="1">
        <f t="shared" si="340"/>
        <v>120.2</v>
      </c>
      <c r="N321" s="1">
        <f t="shared" si="341"/>
        <v>120.2</v>
      </c>
      <c r="O321" s="1"/>
      <c r="Q321" s="1">
        <f t="shared" si="342"/>
        <v>120.2</v>
      </c>
      <c r="T321" s="1">
        <f t="shared" si="343"/>
        <v>120.2</v>
      </c>
      <c r="U321" s="1">
        <f t="shared" si="343"/>
        <v>120.2</v>
      </c>
      <c r="V321" s="1">
        <f t="shared" si="344"/>
        <v>0</v>
      </c>
      <c r="W321" s="1">
        <f t="shared" si="345"/>
        <v>120.2</v>
      </c>
      <c r="X321" s="1">
        <v>100</v>
      </c>
      <c r="Y321" s="41">
        <f t="shared" si="300"/>
        <v>-20.200000000000003</v>
      </c>
      <c r="Z321" s="1">
        <f>W321+Y321</f>
        <v>100</v>
      </c>
      <c r="AA321" s="1">
        <v>100</v>
      </c>
      <c r="AB321" s="1">
        <f t="shared" ref="AB321:AB330" si="349">AA321-Z321</f>
        <v>0</v>
      </c>
      <c r="AC321" s="1">
        <f t="shared" si="346"/>
        <v>100</v>
      </c>
      <c r="AD321" s="41">
        <v>2500</v>
      </c>
      <c r="AE321" s="1">
        <f t="shared" si="347"/>
        <v>2400</v>
      </c>
      <c r="AF321" s="1">
        <f t="shared" si="348"/>
        <v>2500</v>
      </c>
    </row>
    <row r="322" spans="1:32" outlineLevel="2">
      <c r="A322" s="11">
        <v>23112</v>
      </c>
      <c r="B322" s="11">
        <v>21200</v>
      </c>
      <c r="C322" s="39" t="s">
        <v>734</v>
      </c>
      <c r="D322" s="7"/>
      <c r="E322" s="7"/>
      <c r="F322" s="7"/>
      <c r="G322" s="7"/>
      <c r="H322" s="10"/>
      <c r="I322" s="16"/>
      <c r="J322" s="16"/>
      <c r="K322" s="16"/>
      <c r="L322" s="1"/>
      <c r="N322" s="1"/>
      <c r="O322" s="1"/>
      <c r="T322" s="1"/>
      <c r="V322" s="1"/>
      <c r="W322" s="1">
        <v>0</v>
      </c>
      <c r="X322" s="1">
        <v>2000</v>
      </c>
      <c r="Y322" s="41">
        <f t="shared" ref="Y322" si="350">X322-W322</f>
        <v>2000</v>
      </c>
      <c r="Z322" s="1">
        <f>W322+Y322</f>
        <v>2000</v>
      </c>
      <c r="AA322" s="1">
        <v>2000</v>
      </c>
      <c r="AB322" s="1">
        <f t="shared" si="349"/>
        <v>0</v>
      </c>
      <c r="AC322" s="1">
        <f t="shared" si="346"/>
        <v>2000</v>
      </c>
      <c r="AD322" s="41">
        <v>0</v>
      </c>
      <c r="AE322" s="1">
        <f t="shared" si="347"/>
        <v>-2000</v>
      </c>
      <c r="AF322" s="1">
        <f t="shared" si="348"/>
        <v>0</v>
      </c>
    </row>
    <row r="323" spans="1:32" outlineLevel="2">
      <c r="A323" s="11">
        <v>23112</v>
      </c>
      <c r="B323" s="11">
        <v>21300</v>
      </c>
      <c r="C323" s="39" t="s">
        <v>321</v>
      </c>
      <c r="D323" s="7"/>
      <c r="E323" s="7"/>
      <c r="F323" s="7"/>
      <c r="G323" s="7"/>
      <c r="H323" s="10"/>
      <c r="I323" s="16"/>
      <c r="J323" s="16"/>
      <c r="K323" s="16"/>
      <c r="L323" s="1"/>
      <c r="N323" s="1"/>
      <c r="O323" s="1"/>
      <c r="T323" s="1"/>
      <c r="V323" s="1"/>
      <c r="W323" s="1"/>
      <c r="Y323" s="41"/>
      <c r="Z323" s="1"/>
      <c r="AB323" s="1"/>
      <c r="AC323" s="1">
        <v>0</v>
      </c>
      <c r="AD323" s="41">
        <v>2000</v>
      </c>
      <c r="AE323" s="1">
        <f t="shared" ref="AE323" si="351">AD323-AC323</f>
        <v>2000</v>
      </c>
      <c r="AF323" s="1">
        <f t="shared" ref="AF323" si="352">AC323+AE323</f>
        <v>2000</v>
      </c>
    </row>
    <row r="324" spans="1:32" outlineLevel="2">
      <c r="A324" s="11">
        <v>23112</v>
      </c>
      <c r="B324" s="11">
        <v>22000</v>
      </c>
      <c r="C324" s="11" t="s">
        <v>280</v>
      </c>
      <c r="D324" s="7">
        <v>960</v>
      </c>
      <c r="E324" s="7"/>
      <c r="F324" s="7">
        <f t="shared" si="337"/>
        <v>960</v>
      </c>
      <c r="G324" s="7"/>
      <c r="H324" s="7">
        <f t="shared" si="338"/>
        <v>960</v>
      </c>
      <c r="I324" s="1"/>
      <c r="J324" s="1">
        <f t="shared" si="339"/>
        <v>960</v>
      </c>
      <c r="K324" s="1"/>
      <c r="L324" s="1">
        <f t="shared" si="340"/>
        <v>960</v>
      </c>
      <c r="N324" s="1">
        <f t="shared" si="341"/>
        <v>960</v>
      </c>
      <c r="O324" s="1"/>
      <c r="Q324" s="1">
        <f t="shared" si="342"/>
        <v>960</v>
      </c>
      <c r="T324" s="1">
        <f t="shared" si="343"/>
        <v>960</v>
      </c>
      <c r="U324" s="1">
        <f t="shared" si="343"/>
        <v>960</v>
      </c>
      <c r="V324" s="1">
        <f t="shared" si="344"/>
        <v>0</v>
      </c>
      <c r="W324" s="1">
        <f t="shared" si="345"/>
        <v>960</v>
      </c>
      <c r="X324" s="1">
        <v>500</v>
      </c>
      <c r="Y324" s="41">
        <f t="shared" si="300"/>
        <v>-460</v>
      </c>
      <c r="Z324" s="1">
        <f>W324+Y324</f>
        <v>500</v>
      </c>
      <c r="AA324" s="1">
        <v>1000</v>
      </c>
      <c r="AB324" s="1">
        <f t="shared" si="349"/>
        <v>500</v>
      </c>
      <c r="AC324" s="1">
        <f t="shared" si="346"/>
        <v>1000</v>
      </c>
      <c r="AD324" s="41">
        <v>100</v>
      </c>
      <c r="AE324" s="1">
        <f t="shared" si="347"/>
        <v>-900</v>
      </c>
      <c r="AF324" s="1">
        <f t="shared" si="348"/>
        <v>100</v>
      </c>
    </row>
    <row r="325" spans="1:32" outlineLevel="2">
      <c r="A325" s="11">
        <v>23112</v>
      </c>
      <c r="B325" s="11">
        <v>22001</v>
      </c>
      <c r="C325" s="42" t="s">
        <v>384</v>
      </c>
      <c r="D325" s="7">
        <v>2400</v>
      </c>
      <c r="E325" s="7"/>
      <c r="F325" s="7">
        <f t="shared" si="337"/>
        <v>2400</v>
      </c>
      <c r="G325" s="7"/>
      <c r="H325" s="7">
        <f t="shared" si="338"/>
        <v>2400</v>
      </c>
      <c r="I325" s="1"/>
      <c r="J325" s="1">
        <f t="shared" si="339"/>
        <v>2400</v>
      </c>
      <c r="K325" s="1"/>
      <c r="L325" s="1">
        <f t="shared" si="340"/>
        <v>2400</v>
      </c>
      <c r="N325" s="1">
        <f t="shared" si="341"/>
        <v>2400</v>
      </c>
      <c r="O325" s="1"/>
      <c r="Q325" s="1">
        <f t="shared" si="342"/>
        <v>2400</v>
      </c>
      <c r="T325" s="1">
        <f t="shared" si="343"/>
        <v>2400</v>
      </c>
      <c r="U325" s="1">
        <f t="shared" si="343"/>
        <v>2400</v>
      </c>
      <c r="V325" s="1">
        <f t="shared" si="344"/>
        <v>0</v>
      </c>
      <c r="W325" s="1">
        <f t="shared" si="345"/>
        <v>2400</v>
      </c>
      <c r="X325" s="1">
        <v>1000</v>
      </c>
      <c r="Y325" s="41">
        <f t="shared" si="300"/>
        <v>-1400</v>
      </c>
      <c r="Z325" s="1">
        <f>W325+Y325</f>
        <v>1000</v>
      </c>
      <c r="AA325" s="1">
        <v>6000</v>
      </c>
      <c r="AB325" s="1">
        <f t="shared" si="349"/>
        <v>5000</v>
      </c>
      <c r="AC325" s="1">
        <f t="shared" si="346"/>
        <v>6000</v>
      </c>
      <c r="AD325" s="41">
        <v>6000</v>
      </c>
      <c r="AE325" s="1">
        <f t="shared" si="347"/>
        <v>0</v>
      </c>
      <c r="AF325" s="1">
        <f t="shared" si="348"/>
        <v>6000</v>
      </c>
    </row>
    <row r="326" spans="1:32" outlineLevel="2">
      <c r="A326" s="11">
        <v>23112</v>
      </c>
      <c r="B326" s="11">
        <v>22199</v>
      </c>
      <c r="C326" s="42" t="s">
        <v>232</v>
      </c>
      <c r="D326" s="7"/>
      <c r="E326" s="7"/>
      <c r="F326" s="7"/>
      <c r="G326" s="7"/>
      <c r="H326" s="7"/>
      <c r="I326" s="1"/>
      <c r="J326" s="1"/>
      <c r="K326" s="1"/>
      <c r="L326" s="1"/>
      <c r="N326" s="1"/>
      <c r="O326" s="1"/>
      <c r="T326" s="1"/>
      <c r="V326" s="1"/>
      <c r="W326" s="1">
        <v>0</v>
      </c>
      <c r="X326" s="1">
        <v>0</v>
      </c>
      <c r="Y326" s="41"/>
      <c r="Z326" s="1">
        <v>0</v>
      </c>
      <c r="AA326" s="1">
        <v>0</v>
      </c>
      <c r="AB326" s="1">
        <f t="shared" si="349"/>
        <v>0</v>
      </c>
      <c r="AC326" s="1">
        <f t="shared" si="346"/>
        <v>0</v>
      </c>
      <c r="AD326" s="41">
        <v>0</v>
      </c>
      <c r="AE326" s="1">
        <f t="shared" si="347"/>
        <v>0</v>
      </c>
      <c r="AF326" s="1">
        <f t="shared" si="348"/>
        <v>0</v>
      </c>
    </row>
    <row r="327" spans="1:32" outlineLevel="2">
      <c r="A327" s="11">
        <v>23112</v>
      </c>
      <c r="B327" s="11">
        <v>22602</v>
      </c>
      <c r="C327" s="11" t="s">
        <v>282</v>
      </c>
      <c r="D327" s="7">
        <v>4800</v>
      </c>
      <c r="E327" s="7"/>
      <c r="F327" s="7">
        <f t="shared" si="337"/>
        <v>4800</v>
      </c>
      <c r="G327" s="7"/>
      <c r="H327" s="7">
        <f t="shared" si="338"/>
        <v>4800</v>
      </c>
      <c r="I327" s="1"/>
      <c r="J327" s="1">
        <f t="shared" si="339"/>
        <v>4800</v>
      </c>
      <c r="K327" s="1"/>
      <c r="L327" s="1">
        <f t="shared" si="340"/>
        <v>4800</v>
      </c>
      <c r="N327" s="1">
        <f t="shared" si="341"/>
        <v>4800</v>
      </c>
      <c r="O327" s="1"/>
      <c r="Q327" s="1">
        <f t="shared" si="342"/>
        <v>4800</v>
      </c>
      <c r="T327" s="1">
        <f t="shared" si="343"/>
        <v>4800</v>
      </c>
      <c r="U327" s="1">
        <f t="shared" si="343"/>
        <v>4800</v>
      </c>
      <c r="V327" s="1">
        <f t="shared" si="344"/>
        <v>0</v>
      </c>
      <c r="W327" s="1">
        <f t="shared" si="345"/>
        <v>4800</v>
      </c>
      <c r="X327" s="1">
        <v>0</v>
      </c>
      <c r="Y327" s="41">
        <f t="shared" si="300"/>
        <v>-4800</v>
      </c>
      <c r="Z327" s="1">
        <f>W327+Y327</f>
        <v>0</v>
      </c>
      <c r="AA327" s="1">
        <v>0</v>
      </c>
      <c r="AB327" s="1">
        <f t="shared" si="349"/>
        <v>0</v>
      </c>
      <c r="AC327" s="1">
        <f t="shared" si="346"/>
        <v>0</v>
      </c>
      <c r="AD327" s="41">
        <v>0</v>
      </c>
      <c r="AE327" s="1">
        <f t="shared" si="347"/>
        <v>0</v>
      </c>
      <c r="AF327" s="1">
        <f t="shared" si="348"/>
        <v>0</v>
      </c>
    </row>
    <row r="328" spans="1:32" outlineLevel="2">
      <c r="A328" s="11">
        <v>23112</v>
      </c>
      <c r="B328" s="11">
        <v>22606</v>
      </c>
      <c r="C328" s="42" t="s">
        <v>831</v>
      </c>
      <c r="D328" s="7">
        <v>2400</v>
      </c>
      <c r="E328" s="7"/>
      <c r="F328" s="7">
        <f t="shared" si="337"/>
        <v>2400</v>
      </c>
      <c r="G328" s="7"/>
      <c r="H328" s="7">
        <f t="shared" si="338"/>
        <v>2400</v>
      </c>
      <c r="I328" s="1"/>
      <c r="J328" s="1">
        <f t="shared" si="339"/>
        <v>2400</v>
      </c>
      <c r="K328" s="1"/>
      <c r="L328" s="1">
        <f t="shared" si="340"/>
        <v>2400</v>
      </c>
      <c r="N328" s="1">
        <f t="shared" si="341"/>
        <v>2400</v>
      </c>
      <c r="O328" s="1"/>
      <c r="Q328" s="1">
        <f t="shared" si="342"/>
        <v>2400</v>
      </c>
      <c r="T328" s="1">
        <f t="shared" si="343"/>
        <v>2400</v>
      </c>
      <c r="U328" s="1">
        <f t="shared" si="343"/>
        <v>2400</v>
      </c>
      <c r="V328" s="1">
        <f t="shared" si="344"/>
        <v>0</v>
      </c>
      <c r="W328" s="1">
        <f t="shared" si="345"/>
        <v>2400</v>
      </c>
      <c r="X328" s="1">
        <v>5000</v>
      </c>
      <c r="Y328" s="41">
        <f t="shared" si="300"/>
        <v>2600</v>
      </c>
      <c r="Z328" s="1">
        <f>W328+Y328</f>
        <v>5000</v>
      </c>
      <c r="AA328" s="1">
        <v>5000</v>
      </c>
      <c r="AB328" s="1">
        <f t="shared" si="349"/>
        <v>0</v>
      </c>
      <c r="AC328" s="1">
        <f t="shared" si="346"/>
        <v>5000</v>
      </c>
      <c r="AD328" s="41">
        <v>10200</v>
      </c>
      <c r="AE328" s="1">
        <f t="shared" si="347"/>
        <v>5200</v>
      </c>
      <c r="AF328" s="1">
        <f t="shared" si="348"/>
        <v>10200</v>
      </c>
    </row>
    <row r="329" spans="1:32" s="2" customFormat="1" outlineLevel="1">
      <c r="A329" s="11">
        <v>23112</v>
      </c>
      <c r="B329" s="11">
        <v>22699</v>
      </c>
      <c r="C329" s="11" t="s">
        <v>256</v>
      </c>
      <c r="D329" s="7">
        <v>12500</v>
      </c>
      <c r="E329" s="7"/>
      <c r="F329" s="7">
        <f t="shared" si="337"/>
        <v>12500</v>
      </c>
      <c r="G329" s="7"/>
      <c r="H329" s="7">
        <f t="shared" si="338"/>
        <v>12500</v>
      </c>
      <c r="I329" s="1"/>
      <c r="J329" s="1">
        <f t="shared" si="339"/>
        <v>12500</v>
      </c>
      <c r="K329" s="1"/>
      <c r="L329" s="1">
        <f t="shared" si="340"/>
        <v>12500</v>
      </c>
      <c r="M329" s="7"/>
      <c r="N329" s="1">
        <f t="shared" si="341"/>
        <v>12500</v>
      </c>
      <c r="O329" s="1"/>
      <c r="P329" s="3"/>
      <c r="Q329" s="1">
        <f t="shared" si="342"/>
        <v>12500</v>
      </c>
      <c r="R329" s="3"/>
      <c r="S329" s="41"/>
      <c r="T329" s="1">
        <f t="shared" si="343"/>
        <v>12500</v>
      </c>
      <c r="U329" s="1">
        <v>10000</v>
      </c>
      <c r="V329" s="1">
        <f t="shared" si="344"/>
        <v>-2500</v>
      </c>
      <c r="W329" s="1">
        <f t="shared" si="345"/>
        <v>10000</v>
      </c>
      <c r="X329" s="41">
        <v>10000</v>
      </c>
      <c r="Y329" s="41">
        <f t="shared" si="300"/>
        <v>0</v>
      </c>
      <c r="Z329" s="1">
        <f>W329+Y329</f>
        <v>10000</v>
      </c>
      <c r="AA329" s="41">
        <v>10000</v>
      </c>
      <c r="AB329" s="1">
        <f t="shared" si="349"/>
        <v>0</v>
      </c>
      <c r="AC329" s="1">
        <f t="shared" si="346"/>
        <v>10000</v>
      </c>
      <c r="AD329" s="41">
        <v>5000</v>
      </c>
      <c r="AE329" s="1">
        <f t="shared" si="347"/>
        <v>-5000</v>
      </c>
      <c r="AF329" s="1">
        <f t="shared" si="348"/>
        <v>5000</v>
      </c>
    </row>
    <row r="330" spans="1:32" s="2" customFormat="1" outlineLevel="1">
      <c r="A330" s="11">
        <v>23112</v>
      </c>
      <c r="B330" s="11">
        <v>22706</v>
      </c>
      <c r="C330" s="11" t="s">
        <v>493</v>
      </c>
      <c r="D330" s="7">
        <v>85600</v>
      </c>
      <c r="E330" s="7">
        <f>393766.39+85600</f>
        <v>479366.39</v>
      </c>
      <c r="F330" s="7">
        <f t="shared" si="337"/>
        <v>-393766.39</v>
      </c>
      <c r="G330" s="7">
        <v>393766.39</v>
      </c>
      <c r="H330" s="7">
        <f t="shared" si="338"/>
        <v>479366.39</v>
      </c>
      <c r="I330" s="1"/>
      <c r="J330" s="1">
        <f t="shared" si="339"/>
        <v>479366.39</v>
      </c>
      <c r="K330" s="1"/>
      <c r="L330" s="1">
        <f t="shared" si="340"/>
        <v>479366.39</v>
      </c>
      <c r="M330" s="10">
        <f>414366.57-L330</f>
        <v>-64999.820000000007</v>
      </c>
      <c r="N330" s="1">
        <f t="shared" si="341"/>
        <v>414366.57</v>
      </c>
      <c r="O330" s="1"/>
      <c r="P330" s="3"/>
      <c r="Q330" s="1">
        <f t="shared" si="342"/>
        <v>414366.57</v>
      </c>
      <c r="R330" s="3"/>
      <c r="S330" s="41">
        <v>-24366.57</v>
      </c>
      <c r="T330" s="1">
        <f t="shared" si="343"/>
        <v>390000</v>
      </c>
      <c r="U330" s="1">
        <v>397500</v>
      </c>
      <c r="V330" s="1">
        <f t="shared" si="344"/>
        <v>7500</v>
      </c>
      <c r="W330" s="1">
        <f t="shared" si="345"/>
        <v>397500</v>
      </c>
      <c r="X330" s="41">
        <f>215380+9500+18000</f>
        <v>242880</v>
      </c>
      <c r="Y330" s="41">
        <f t="shared" si="300"/>
        <v>-154620</v>
      </c>
      <c r="Z330" s="1">
        <f>W330+Y330</f>
        <v>242880</v>
      </c>
      <c r="AA330" s="41">
        <f>204586+9800+20600</f>
        <v>234986</v>
      </c>
      <c r="AB330" s="1">
        <f t="shared" si="349"/>
        <v>-7894</v>
      </c>
      <c r="AC330" s="1">
        <f t="shared" si="346"/>
        <v>234986</v>
      </c>
      <c r="AD330" s="41">
        <v>204585.37</v>
      </c>
      <c r="AE330" s="1">
        <f t="shared" si="347"/>
        <v>-30400.630000000005</v>
      </c>
      <c r="AF330" s="1">
        <f t="shared" si="348"/>
        <v>204585.37</v>
      </c>
    </row>
    <row r="331" spans="1:32" s="2" customFormat="1" outlineLevel="1">
      <c r="A331" s="11">
        <v>23112</v>
      </c>
      <c r="B331" s="11">
        <v>48100</v>
      </c>
      <c r="C331" s="39" t="s">
        <v>833</v>
      </c>
      <c r="D331" s="7"/>
      <c r="E331" s="7"/>
      <c r="F331" s="7"/>
      <c r="G331" s="7"/>
      <c r="H331" s="7"/>
      <c r="I331" s="1"/>
      <c r="J331" s="1"/>
      <c r="K331" s="1"/>
      <c r="L331" s="1"/>
      <c r="M331" s="10"/>
      <c r="N331" s="1"/>
      <c r="O331" s="1"/>
      <c r="P331" s="3"/>
      <c r="Q331" s="1"/>
      <c r="R331" s="3"/>
      <c r="S331" s="41"/>
      <c r="T331" s="1"/>
      <c r="U331" s="1"/>
      <c r="V331" s="1"/>
      <c r="W331" s="1"/>
      <c r="X331" s="41"/>
      <c r="Y331" s="41"/>
      <c r="Z331" s="1">
        <v>0</v>
      </c>
      <c r="AA331" s="41">
        <v>1000</v>
      </c>
      <c r="AB331" s="1">
        <f t="shared" ref="AB331" si="353">AA331-Z331</f>
        <v>1000</v>
      </c>
      <c r="AC331" s="1">
        <f t="shared" ref="AC331" si="354">Z331+AB331</f>
        <v>1000</v>
      </c>
      <c r="AD331" s="41">
        <v>500</v>
      </c>
      <c r="AE331" s="1">
        <f t="shared" si="347"/>
        <v>-500</v>
      </c>
      <c r="AF331" s="1">
        <f t="shared" si="348"/>
        <v>500</v>
      </c>
    </row>
    <row r="332" spans="1:32" s="2" customFormat="1" outlineLevel="1">
      <c r="A332" s="9" t="s">
        <v>785</v>
      </c>
      <c r="B332" s="9"/>
      <c r="C332" s="9" t="s">
        <v>832</v>
      </c>
      <c r="D332" s="8">
        <f t="shared" ref="D332:AB332" si="355">SUBTOTAL(9,D320:D330)</f>
        <v>108780.2</v>
      </c>
      <c r="E332" s="8">
        <f t="shared" si="355"/>
        <v>512674.2324137931</v>
      </c>
      <c r="F332" s="8">
        <f t="shared" si="355"/>
        <v>-403894.03241379315</v>
      </c>
      <c r="G332" s="8">
        <f t="shared" si="355"/>
        <v>427074.23</v>
      </c>
      <c r="H332" s="8">
        <f t="shared" si="355"/>
        <v>535854.43000000005</v>
      </c>
      <c r="I332" s="8">
        <f t="shared" si="355"/>
        <v>0</v>
      </c>
      <c r="J332" s="8">
        <f t="shared" si="355"/>
        <v>535854.43000000005</v>
      </c>
      <c r="K332" s="8">
        <f t="shared" si="355"/>
        <v>0</v>
      </c>
      <c r="L332" s="8">
        <f t="shared" si="355"/>
        <v>535854.43000000005</v>
      </c>
      <c r="M332" s="8">
        <f t="shared" si="355"/>
        <v>-64999.820000000007</v>
      </c>
      <c r="N332" s="8">
        <f t="shared" si="355"/>
        <v>470854.61</v>
      </c>
      <c r="O332" s="8">
        <f t="shared" si="355"/>
        <v>0</v>
      </c>
      <c r="P332" s="8">
        <f t="shared" si="355"/>
        <v>0</v>
      </c>
      <c r="Q332" s="8">
        <f t="shared" si="355"/>
        <v>470854.61</v>
      </c>
      <c r="R332" s="3"/>
      <c r="S332" s="8">
        <f t="shared" si="355"/>
        <v>-24366.57</v>
      </c>
      <c r="T332" s="8">
        <f t="shared" si="355"/>
        <v>446488.04</v>
      </c>
      <c r="U332" s="8">
        <f t="shared" si="355"/>
        <v>453602.69</v>
      </c>
      <c r="V332" s="8">
        <f t="shared" si="355"/>
        <v>7114.6500000000015</v>
      </c>
      <c r="W332" s="8">
        <f t="shared" si="355"/>
        <v>453602.69</v>
      </c>
      <c r="X332" s="8">
        <f t="shared" si="355"/>
        <v>297142.75</v>
      </c>
      <c r="Y332" s="8">
        <f t="shared" si="355"/>
        <v>-156459.94</v>
      </c>
      <c r="Z332" s="8">
        <f t="shared" si="355"/>
        <v>297142.75</v>
      </c>
      <c r="AA332" s="8">
        <f t="shared" si="355"/>
        <v>294748.75</v>
      </c>
      <c r="AB332" s="8">
        <f t="shared" si="355"/>
        <v>-2394</v>
      </c>
      <c r="AC332" s="8">
        <f>SUBTOTAL(9,AC320:AC331)</f>
        <v>295748.75</v>
      </c>
      <c r="AD332" s="8">
        <f t="shared" ref="AD332:AF332" si="356">SUBTOTAL(9,AD320:AD331)</f>
        <v>246081.59999999998</v>
      </c>
      <c r="AE332" s="8">
        <f t="shared" si="356"/>
        <v>-49667.150000000009</v>
      </c>
      <c r="AF332" s="8">
        <f t="shared" si="356"/>
        <v>246081.59999999998</v>
      </c>
    </row>
    <row r="333" spans="1:32" s="2" customFormat="1" outlineLevel="1">
      <c r="A333" s="42">
        <v>23113</v>
      </c>
      <c r="B333" s="11">
        <v>12000</v>
      </c>
      <c r="C333" s="11" t="s">
        <v>340</v>
      </c>
      <c r="D333" s="7">
        <v>137115.91</v>
      </c>
      <c r="E333" s="7">
        <v>0</v>
      </c>
      <c r="F333" s="7">
        <f t="shared" ref="F333:F364" si="357">D333-E333</f>
        <v>137115.91</v>
      </c>
      <c r="G333" s="7">
        <v>-137115.91</v>
      </c>
      <c r="H333" s="7">
        <f t="shared" ref="H333:H364" si="358">D333+G333</f>
        <v>0</v>
      </c>
      <c r="I333" s="7">
        <v>19569.759999999998</v>
      </c>
      <c r="J333" s="7">
        <f t="shared" ref="J333:J365" si="359">H333-I333</f>
        <v>-19569.759999999998</v>
      </c>
      <c r="K333" s="7">
        <v>19569.759999999998</v>
      </c>
      <c r="L333" s="7">
        <v>19569.759999999998</v>
      </c>
      <c r="M333" s="7">
        <f>14677.32-L333</f>
        <v>-4892.4399999999987</v>
      </c>
      <c r="N333" s="7">
        <f t="shared" si="341"/>
        <v>14677.32</v>
      </c>
      <c r="O333" s="7">
        <v>14677.32</v>
      </c>
      <c r="P333" s="1">
        <f t="shared" ref="P333:P346" si="360">O333-N333</f>
        <v>0</v>
      </c>
      <c r="Q333" s="1">
        <f t="shared" ref="Q333:Q365" si="361">N333+P333</f>
        <v>14677.32</v>
      </c>
      <c r="R333" s="41">
        <v>29354.639999999999</v>
      </c>
      <c r="S333" s="1">
        <f t="shared" ref="S333:S346" si="362">R333-Q333</f>
        <v>14677.32</v>
      </c>
      <c r="T333" s="1">
        <f t="shared" ref="T333:U365" si="363">Q333+S333</f>
        <v>29354.639999999999</v>
      </c>
      <c r="U333" s="41">
        <v>44031.96</v>
      </c>
      <c r="V333" s="1">
        <f t="shared" ref="V333:V365" si="364">U333-T333</f>
        <v>14677.32</v>
      </c>
      <c r="W333" s="1">
        <f t="shared" ref="W333:W365" si="365">T333+V333</f>
        <v>44031.96</v>
      </c>
      <c r="X333" s="41">
        <v>45500.59</v>
      </c>
      <c r="Y333" s="41">
        <f t="shared" si="300"/>
        <v>1468.6299999999974</v>
      </c>
      <c r="Z333" s="1">
        <f t="shared" ref="Z333:Z365" si="366">W333+Y333</f>
        <v>45500.59</v>
      </c>
      <c r="AA333" s="41">
        <v>44917.35</v>
      </c>
      <c r="AB333" s="41">
        <f>AA333-Z333</f>
        <v>-583.23999999999796</v>
      </c>
      <c r="AC333" s="1">
        <f t="shared" ref="AC333:AC365" si="367">Z333+AB333</f>
        <v>44917.35</v>
      </c>
      <c r="AD333" s="41">
        <v>45591.45</v>
      </c>
      <c r="AE333" s="1">
        <f t="shared" ref="AE333:AE366" si="368">AD333-AC333</f>
        <v>674.09999999999854</v>
      </c>
      <c r="AF333" s="1">
        <f t="shared" si="348"/>
        <v>45591.45</v>
      </c>
    </row>
    <row r="334" spans="1:32" s="2" customFormat="1" outlineLevel="1">
      <c r="A334" s="42">
        <v>23113</v>
      </c>
      <c r="B334" s="11">
        <v>12001</v>
      </c>
      <c r="C334" s="11" t="s">
        <v>135</v>
      </c>
      <c r="D334" s="7">
        <v>0</v>
      </c>
      <c r="E334" s="7">
        <v>33744.86</v>
      </c>
      <c r="F334" s="7">
        <f t="shared" si="357"/>
        <v>-33744.86</v>
      </c>
      <c r="G334" s="7">
        <v>33744.86</v>
      </c>
      <c r="H334" s="7">
        <f t="shared" si="358"/>
        <v>33744.86</v>
      </c>
      <c r="I334" s="7">
        <v>25813.040000000001</v>
      </c>
      <c r="J334" s="7">
        <f t="shared" si="359"/>
        <v>7931.82</v>
      </c>
      <c r="K334" s="7">
        <v>-7931.82</v>
      </c>
      <c r="L334" s="7">
        <v>25813.040000000001</v>
      </c>
      <c r="M334" s="7">
        <f>63141.53-L334</f>
        <v>37328.49</v>
      </c>
      <c r="N334" s="7">
        <f t="shared" si="341"/>
        <v>63141.53</v>
      </c>
      <c r="O334" s="7">
        <v>69972.56</v>
      </c>
      <c r="P334" s="1">
        <f t="shared" si="360"/>
        <v>6831.0299999999988</v>
      </c>
      <c r="Q334" s="1">
        <f t="shared" si="361"/>
        <v>69972.56</v>
      </c>
      <c r="R334" s="41">
        <v>70063.05</v>
      </c>
      <c r="S334" s="1">
        <f t="shared" si="362"/>
        <v>90.490000000005239</v>
      </c>
      <c r="T334" s="1">
        <f t="shared" si="363"/>
        <v>70063.05</v>
      </c>
      <c r="U334" s="41">
        <v>90345.64</v>
      </c>
      <c r="V334" s="1">
        <f t="shared" si="364"/>
        <v>20282.589999999997</v>
      </c>
      <c r="W334" s="1">
        <f t="shared" si="365"/>
        <v>90345.64</v>
      </c>
      <c r="X334" s="41">
        <v>108608.89</v>
      </c>
      <c r="Y334" s="41">
        <f t="shared" si="300"/>
        <v>18263.25</v>
      </c>
      <c r="Z334" s="1">
        <f t="shared" si="366"/>
        <v>108608.89</v>
      </c>
      <c r="AA334" s="41">
        <v>78995.740000000005</v>
      </c>
      <c r="AB334" s="41">
        <f t="shared" ref="AB334:AB365" si="369">AA334-Z334</f>
        <v>-29613.149999999994</v>
      </c>
      <c r="AC334" s="1">
        <f t="shared" si="367"/>
        <v>78995.740000000005</v>
      </c>
      <c r="AD334" s="41">
        <v>80180.88</v>
      </c>
      <c r="AE334" s="1">
        <f t="shared" si="368"/>
        <v>1185.1399999999994</v>
      </c>
      <c r="AF334" s="1">
        <f t="shared" si="348"/>
        <v>80180.88</v>
      </c>
    </row>
    <row r="335" spans="1:32" s="2" customFormat="1" outlineLevel="1">
      <c r="A335" s="42">
        <v>23113</v>
      </c>
      <c r="B335" s="11">
        <v>12003</v>
      </c>
      <c r="C335" s="42" t="s">
        <v>774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"/>
      <c r="Q335" s="1"/>
      <c r="R335" s="41"/>
      <c r="S335" s="1"/>
      <c r="T335" s="1">
        <v>0</v>
      </c>
      <c r="U335" s="41">
        <v>9884.84</v>
      </c>
      <c r="V335" s="1">
        <f t="shared" ref="V335" si="370">U335-T335</f>
        <v>9884.84</v>
      </c>
      <c r="W335" s="1">
        <f t="shared" ref="W335" si="371">T335+V335</f>
        <v>9884.84</v>
      </c>
      <c r="X335" s="41">
        <v>9983.69</v>
      </c>
      <c r="Y335" s="41">
        <f t="shared" si="300"/>
        <v>98.850000000000364</v>
      </c>
      <c r="Z335" s="1">
        <f t="shared" si="366"/>
        <v>9983.69</v>
      </c>
      <c r="AA335" s="41">
        <v>20167.189999999999</v>
      </c>
      <c r="AB335" s="41">
        <f t="shared" si="369"/>
        <v>10183.499999999998</v>
      </c>
      <c r="AC335" s="1">
        <f t="shared" si="367"/>
        <v>20167.189999999999</v>
      </c>
      <c r="AD335" s="41">
        <v>20470.02</v>
      </c>
      <c r="AE335" s="1">
        <f t="shared" si="368"/>
        <v>302.83000000000175</v>
      </c>
      <c r="AF335" s="1">
        <f t="shared" si="348"/>
        <v>20470.02</v>
      </c>
    </row>
    <row r="336" spans="1:32" s="2" customFormat="1" outlineLevel="1">
      <c r="A336" s="42">
        <v>23113</v>
      </c>
      <c r="B336" s="11">
        <v>12004</v>
      </c>
      <c r="C336" s="11" t="s">
        <v>136</v>
      </c>
      <c r="D336" s="7">
        <v>0</v>
      </c>
      <c r="E336" s="7">
        <v>72367.91</v>
      </c>
      <c r="F336" s="7">
        <f t="shared" si="357"/>
        <v>-72367.91</v>
      </c>
      <c r="G336" s="7">
        <v>72367.91</v>
      </c>
      <c r="H336" s="7">
        <f t="shared" si="358"/>
        <v>72367.91</v>
      </c>
      <c r="I336" s="7">
        <v>189216.27</v>
      </c>
      <c r="J336" s="7">
        <f t="shared" si="359"/>
        <v>-116848.35999999999</v>
      </c>
      <c r="K336" s="7">
        <v>116848.36</v>
      </c>
      <c r="L336" s="7">
        <v>189216.27</v>
      </c>
      <c r="M336" s="7">
        <f>192234.74-L336</f>
        <v>3018.4700000000012</v>
      </c>
      <c r="N336" s="7">
        <f t="shared" si="341"/>
        <v>192234.74</v>
      </c>
      <c r="O336" s="7">
        <v>197446.46</v>
      </c>
      <c r="P336" s="1">
        <f t="shared" si="360"/>
        <v>5211.7200000000012</v>
      </c>
      <c r="Q336" s="1">
        <f t="shared" si="361"/>
        <v>197446.46</v>
      </c>
      <c r="R336" s="41">
        <v>189111.84</v>
      </c>
      <c r="S336" s="1">
        <f t="shared" si="362"/>
        <v>-8334.6199999999953</v>
      </c>
      <c r="T336" s="1">
        <f t="shared" si="363"/>
        <v>189111.84</v>
      </c>
      <c r="U336" s="41">
        <v>217843.08</v>
      </c>
      <c r="V336" s="1">
        <f t="shared" si="364"/>
        <v>28731.239999999991</v>
      </c>
      <c r="W336" s="1">
        <f t="shared" si="365"/>
        <v>217843.08</v>
      </c>
      <c r="X336" s="41">
        <v>247841.3</v>
      </c>
      <c r="Y336" s="41">
        <f t="shared" si="300"/>
        <v>29998.22</v>
      </c>
      <c r="Z336" s="1">
        <f t="shared" si="366"/>
        <v>247841.3</v>
      </c>
      <c r="AA336" s="41">
        <v>239317.07</v>
      </c>
      <c r="AB336" s="41">
        <f t="shared" si="369"/>
        <v>-8524.2299999999814</v>
      </c>
      <c r="AC336" s="1">
        <f t="shared" si="367"/>
        <v>239317.07</v>
      </c>
      <c r="AD336" s="41">
        <v>251585.17</v>
      </c>
      <c r="AE336" s="1">
        <f t="shared" si="368"/>
        <v>12268.100000000006</v>
      </c>
      <c r="AF336" s="1">
        <f t="shared" si="348"/>
        <v>251585.17</v>
      </c>
    </row>
    <row r="337" spans="1:32" s="2" customFormat="1" outlineLevel="1">
      <c r="A337" s="42">
        <v>23113</v>
      </c>
      <c r="B337" s="11">
        <v>12005</v>
      </c>
      <c r="C337" s="42" t="s">
        <v>854</v>
      </c>
      <c r="D337" s="7">
        <v>0</v>
      </c>
      <c r="E337" s="7">
        <v>18124.28</v>
      </c>
      <c r="F337" s="7">
        <f t="shared" si="357"/>
        <v>-18124.28</v>
      </c>
      <c r="G337" s="7">
        <v>18124.28</v>
      </c>
      <c r="H337" s="7">
        <f t="shared" si="358"/>
        <v>18124.28</v>
      </c>
      <c r="I337" s="7">
        <v>136151.93</v>
      </c>
      <c r="J337" s="7">
        <f t="shared" si="359"/>
        <v>-118027.65</v>
      </c>
      <c r="K337" s="7">
        <v>118027.65</v>
      </c>
      <c r="L337" s="7">
        <v>136151.93</v>
      </c>
      <c r="M337" s="7">
        <f>92142.96-L337</f>
        <v>-44008.969999999987</v>
      </c>
      <c r="N337" s="7">
        <f t="shared" si="341"/>
        <v>92142.96</v>
      </c>
      <c r="O337" s="7">
        <v>99821.54</v>
      </c>
      <c r="P337" s="1">
        <f t="shared" si="360"/>
        <v>7678.5799999999872</v>
      </c>
      <c r="Q337" s="1">
        <f t="shared" si="361"/>
        <v>99821.54</v>
      </c>
      <c r="R337" s="41">
        <v>145893.01999999999</v>
      </c>
      <c r="S337" s="1">
        <f t="shared" si="362"/>
        <v>46071.479999999996</v>
      </c>
      <c r="T337" s="1">
        <f t="shared" si="363"/>
        <v>145893.01999999999</v>
      </c>
      <c r="U337" s="41">
        <v>145893.01999999999</v>
      </c>
      <c r="V337" s="1">
        <f t="shared" si="364"/>
        <v>0</v>
      </c>
      <c r="W337" s="1">
        <f t="shared" si="365"/>
        <v>145893.01999999999</v>
      </c>
      <c r="X337" s="41">
        <v>168288.28</v>
      </c>
      <c r="Y337" s="41">
        <f t="shared" si="300"/>
        <v>22395.260000000009</v>
      </c>
      <c r="Z337" s="1">
        <f t="shared" si="366"/>
        <v>168288.28</v>
      </c>
      <c r="AA337" s="41">
        <v>156648.5</v>
      </c>
      <c r="AB337" s="41">
        <f t="shared" si="369"/>
        <v>-11639.779999999999</v>
      </c>
      <c r="AC337" s="1">
        <f t="shared" si="367"/>
        <v>156648.5</v>
      </c>
      <c r="AD337" s="41">
        <v>166960.06</v>
      </c>
      <c r="AE337" s="1">
        <f t="shared" si="368"/>
        <v>10311.559999999998</v>
      </c>
      <c r="AF337" s="1">
        <f t="shared" si="348"/>
        <v>166960.06</v>
      </c>
    </row>
    <row r="338" spans="1:32" s="2" customFormat="1" outlineLevel="1">
      <c r="A338" s="42">
        <v>23113</v>
      </c>
      <c r="B338" s="11">
        <v>12006</v>
      </c>
      <c r="C338" s="11" t="s">
        <v>81</v>
      </c>
      <c r="D338" s="7">
        <v>0</v>
      </c>
      <c r="E338" s="7">
        <v>19519.939999999999</v>
      </c>
      <c r="F338" s="7">
        <f t="shared" si="357"/>
        <v>-19519.939999999999</v>
      </c>
      <c r="G338" s="7">
        <v>19519.939999999999</v>
      </c>
      <c r="H338" s="7">
        <f t="shared" si="358"/>
        <v>19519.939999999999</v>
      </c>
      <c r="I338" s="7">
        <v>19940.900000000001</v>
      </c>
      <c r="J338" s="7">
        <f t="shared" si="359"/>
        <v>-420.96000000000276</v>
      </c>
      <c r="K338" s="7">
        <v>420.96</v>
      </c>
      <c r="L338" s="7">
        <v>19940.900000000001</v>
      </c>
      <c r="M338" s="7">
        <f>26107.55-L338</f>
        <v>6166.6499999999978</v>
      </c>
      <c r="N338" s="7">
        <f t="shared" si="341"/>
        <v>26107.55</v>
      </c>
      <c r="O338" s="7">
        <v>33548.79</v>
      </c>
      <c r="P338" s="1">
        <f t="shared" si="360"/>
        <v>7441.2400000000016</v>
      </c>
      <c r="Q338" s="1">
        <f t="shared" si="361"/>
        <v>33548.79</v>
      </c>
      <c r="R338" s="41">
        <v>45555.199999999997</v>
      </c>
      <c r="S338" s="1">
        <f t="shared" si="362"/>
        <v>12006.409999999996</v>
      </c>
      <c r="T338" s="1">
        <f t="shared" si="363"/>
        <v>45555.199999999997</v>
      </c>
      <c r="U338" s="41">
        <v>53421.66</v>
      </c>
      <c r="V338" s="1">
        <f t="shared" si="364"/>
        <v>7866.4600000000064</v>
      </c>
      <c r="W338" s="1">
        <f t="shared" si="365"/>
        <v>53421.66</v>
      </c>
      <c r="X338" s="41">
        <v>57177.11</v>
      </c>
      <c r="Y338" s="41">
        <f t="shared" si="300"/>
        <v>3755.4499999999971</v>
      </c>
      <c r="Z338" s="1">
        <f t="shared" si="366"/>
        <v>57177.11</v>
      </c>
      <c r="AA338" s="41">
        <v>54486.18</v>
      </c>
      <c r="AB338" s="41">
        <f t="shared" si="369"/>
        <v>-2690.9300000000003</v>
      </c>
      <c r="AC338" s="1">
        <f t="shared" si="367"/>
        <v>54486.18</v>
      </c>
      <c r="AD338" s="41">
        <v>60013.61</v>
      </c>
      <c r="AE338" s="1">
        <f t="shared" si="368"/>
        <v>5527.43</v>
      </c>
      <c r="AF338" s="1">
        <f t="shared" si="348"/>
        <v>60013.61</v>
      </c>
    </row>
    <row r="339" spans="1:32" s="2" customFormat="1" outlineLevel="1">
      <c r="A339" s="42">
        <v>23113</v>
      </c>
      <c r="B339" s="11">
        <v>12100</v>
      </c>
      <c r="C339" s="11" t="s">
        <v>137</v>
      </c>
      <c r="D339" s="7">
        <v>114625.8</v>
      </c>
      <c r="E339" s="7">
        <v>49323.53</v>
      </c>
      <c r="F339" s="7">
        <f t="shared" si="357"/>
        <v>65302.270000000004</v>
      </c>
      <c r="G339" s="7">
        <v>-65302.27</v>
      </c>
      <c r="H339" s="7">
        <f t="shared" si="358"/>
        <v>49323.530000000006</v>
      </c>
      <c r="I339" s="7">
        <v>190068.4</v>
      </c>
      <c r="J339" s="7">
        <f t="shared" si="359"/>
        <v>-140744.87</v>
      </c>
      <c r="K339" s="7">
        <v>140744.87</v>
      </c>
      <c r="L339" s="7">
        <v>190068.4</v>
      </c>
      <c r="M339" s="7">
        <f>220125.92-L339</f>
        <v>30057.520000000019</v>
      </c>
      <c r="N339" s="7">
        <f t="shared" si="341"/>
        <v>220125.92</v>
      </c>
      <c r="O339" s="7">
        <v>241249.21</v>
      </c>
      <c r="P339" s="1">
        <f t="shared" si="360"/>
        <v>21123.289999999979</v>
      </c>
      <c r="Q339" s="1">
        <f t="shared" si="361"/>
        <v>241249.21</v>
      </c>
      <c r="R339" s="41">
        <f>281047.29-43209.88</f>
        <v>237837.40999999997</v>
      </c>
      <c r="S339" s="1">
        <f t="shared" si="362"/>
        <v>-3411.8000000000175</v>
      </c>
      <c r="T339" s="1">
        <f t="shared" si="363"/>
        <v>237837.40999999997</v>
      </c>
      <c r="U339" s="41">
        <v>275696.02</v>
      </c>
      <c r="V339" s="1">
        <f t="shared" si="364"/>
        <v>37858.610000000044</v>
      </c>
      <c r="W339" s="1">
        <f t="shared" si="365"/>
        <v>275696.02</v>
      </c>
      <c r="X339" s="41">
        <v>302592.39</v>
      </c>
      <c r="Y339" s="41">
        <f t="shared" si="300"/>
        <v>26896.369999999995</v>
      </c>
      <c r="Z339" s="1">
        <f t="shared" si="366"/>
        <v>302592.39</v>
      </c>
      <c r="AA339" s="41">
        <v>292663.49</v>
      </c>
      <c r="AB339" s="41">
        <f t="shared" si="369"/>
        <v>-9928.9000000000233</v>
      </c>
      <c r="AC339" s="1">
        <f t="shared" si="367"/>
        <v>292663.49</v>
      </c>
      <c r="AD339" s="41">
        <v>304513.5</v>
      </c>
      <c r="AE339" s="1">
        <f t="shared" si="368"/>
        <v>11850.010000000009</v>
      </c>
      <c r="AF339" s="1">
        <f t="shared" si="348"/>
        <v>304513.5</v>
      </c>
    </row>
    <row r="340" spans="1:32" s="2" customFormat="1" outlineLevel="1">
      <c r="A340" s="42">
        <v>23113</v>
      </c>
      <c r="B340" s="11">
        <v>12101</v>
      </c>
      <c r="C340" s="11" t="s">
        <v>138</v>
      </c>
      <c r="D340" s="7">
        <v>0</v>
      </c>
      <c r="E340" s="7">
        <v>65630.320000000007</v>
      </c>
      <c r="F340" s="7">
        <f t="shared" si="357"/>
        <v>-65630.320000000007</v>
      </c>
      <c r="G340" s="7">
        <v>65630.320000000007</v>
      </c>
      <c r="H340" s="7">
        <f t="shared" si="358"/>
        <v>65630.320000000007</v>
      </c>
      <c r="I340" s="7">
        <v>268893.95</v>
      </c>
      <c r="J340" s="7">
        <f t="shared" si="359"/>
        <v>-203263.63</v>
      </c>
      <c r="K340" s="7">
        <v>203263.63</v>
      </c>
      <c r="L340" s="7">
        <v>268893.95</v>
      </c>
      <c r="M340" s="7">
        <f>239605.52-L340</f>
        <v>-29288.430000000022</v>
      </c>
      <c r="N340" s="7">
        <f t="shared" si="341"/>
        <v>239605.52</v>
      </c>
      <c r="O340" s="7">
        <v>240966.91</v>
      </c>
      <c r="P340" s="1">
        <f t="shared" si="360"/>
        <v>1361.390000000014</v>
      </c>
      <c r="Q340" s="1">
        <f t="shared" si="361"/>
        <v>240966.91</v>
      </c>
      <c r="R340" s="41">
        <f>321268.25+43209.88</f>
        <v>364478.13</v>
      </c>
      <c r="S340" s="1">
        <f t="shared" si="362"/>
        <v>123511.22</v>
      </c>
      <c r="T340" s="1">
        <f t="shared" si="363"/>
        <v>364478.13</v>
      </c>
      <c r="U340" s="41">
        <v>388145.66</v>
      </c>
      <c r="V340" s="1">
        <f t="shared" si="364"/>
        <v>23667.52999999997</v>
      </c>
      <c r="W340" s="1">
        <f t="shared" si="365"/>
        <v>388145.66</v>
      </c>
      <c r="X340" s="41">
        <v>412811.04</v>
      </c>
      <c r="Y340" s="41">
        <f t="shared" si="300"/>
        <v>24665.380000000005</v>
      </c>
      <c r="Z340" s="1">
        <f t="shared" si="366"/>
        <v>412811.04</v>
      </c>
      <c r="AA340" s="41">
        <v>413098.64</v>
      </c>
      <c r="AB340" s="41">
        <f t="shared" si="369"/>
        <v>287.60000000003492</v>
      </c>
      <c r="AC340" s="1">
        <f t="shared" si="367"/>
        <v>413098.64</v>
      </c>
      <c r="AD340" s="41">
        <v>429390.82</v>
      </c>
      <c r="AE340" s="1">
        <f t="shared" si="368"/>
        <v>16292.179999999993</v>
      </c>
      <c r="AF340" s="1">
        <f t="shared" si="348"/>
        <v>429390.82</v>
      </c>
    </row>
    <row r="341" spans="1:32" s="2" customFormat="1" outlineLevel="1">
      <c r="A341" s="42">
        <v>23113</v>
      </c>
      <c r="B341" s="11">
        <v>13000</v>
      </c>
      <c r="C341" s="11" t="s">
        <v>341</v>
      </c>
      <c r="D341" s="7">
        <v>506788.31</v>
      </c>
      <c r="E341" s="7">
        <v>499736.78</v>
      </c>
      <c r="F341" s="7">
        <f t="shared" si="357"/>
        <v>7051.5299999999697</v>
      </c>
      <c r="G341" s="7">
        <v>-7051.53</v>
      </c>
      <c r="H341" s="7">
        <f t="shared" si="358"/>
        <v>499736.77999999997</v>
      </c>
      <c r="I341" s="7">
        <v>407670.9</v>
      </c>
      <c r="J341" s="7">
        <f t="shared" si="359"/>
        <v>92065.879999999946</v>
      </c>
      <c r="K341" s="7">
        <v>-92065.88</v>
      </c>
      <c r="L341" s="7">
        <v>407670.9</v>
      </c>
      <c r="M341" s="7">
        <f>349905.73-L341</f>
        <v>-57765.170000000042</v>
      </c>
      <c r="N341" s="7">
        <f t="shared" si="341"/>
        <v>349905.73</v>
      </c>
      <c r="O341" s="7">
        <v>373788.02</v>
      </c>
      <c r="P341" s="1">
        <f t="shared" si="360"/>
        <v>23882.290000000037</v>
      </c>
      <c r="Q341" s="1">
        <f t="shared" si="361"/>
        <v>373788.02</v>
      </c>
      <c r="R341" s="41">
        <v>265886.08000000002</v>
      </c>
      <c r="S341" s="1">
        <f t="shared" si="362"/>
        <v>-107901.94</v>
      </c>
      <c r="T341" s="1">
        <f t="shared" si="363"/>
        <v>265886.08000000002</v>
      </c>
      <c r="U341" s="41">
        <v>204315.51999999999</v>
      </c>
      <c r="V341" s="1">
        <f t="shared" si="364"/>
        <v>-61570.560000000027</v>
      </c>
      <c r="W341" s="1">
        <f t="shared" si="365"/>
        <v>204315.51999999999</v>
      </c>
      <c r="X341" s="41">
        <v>203079.76</v>
      </c>
      <c r="Y341" s="41">
        <f t="shared" si="300"/>
        <v>-1235.7599999999802</v>
      </c>
      <c r="Z341" s="1">
        <f t="shared" si="366"/>
        <v>203079.76</v>
      </c>
      <c r="AA341" s="41">
        <v>167300.41</v>
      </c>
      <c r="AB341" s="41">
        <f t="shared" si="369"/>
        <v>-35779.350000000006</v>
      </c>
      <c r="AC341" s="1">
        <f t="shared" si="367"/>
        <v>167300.41</v>
      </c>
      <c r="AD341" s="41">
        <v>150134.17000000001</v>
      </c>
      <c r="AE341" s="1">
        <f t="shared" si="368"/>
        <v>-17166.239999999991</v>
      </c>
      <c r="AF341" s="1">
        <f t="shared" si="348"/>
        <v>150134.17000000001</v>
      </c>
    </row>
    <row r="342" spans="1:32" s="2" customFormat="1" outlineLevel="1">
      <c r="A342" s="42">
        <v>23113</v>
      </c>
      <c r="B342" s="11">
        <v>13002</v>
      </c>
      <c r="C342" s="11" t="s">
        <v>117</v>
      </c>
      <c r="D342" s="7">
        <v>0</v>
      </c>
      <c r="E342" s="7">
        <v>411178.51</v>
      </c>
      <c r="F342" s="7">
        <f t="shared" si="357"/>
        <v>-411178.51</v>
      </c>
      <c r="G342" s="7">
        <v>411178.51</v>
      </c>
      <c r="H342" s="7">
        <f t="shared" si="358"/>
        <v>411178.51</v>
      </c>
      <c r="I342" s="7">
        <v>454799.38</v>
      </c>
      <c r="J342" s="7">
        <f t="shared" si="359"/>
        <v>-43620.869999999995</v>
      </c>
      <c r="K342" s="7">
        <v>43620.87</v>
      </c>
      <c r="L342" s="7">
        <v>454799.38</v>
      </c>
      <c r="M342" s="7">
        <f>397356.4-L342</f>
        <v>-57442.979999999981</v>
      </c>
      <c r="N342" s="7">
        <f t="shared" si="341"/>
        <v>397356.4</v>
      </c>
      <c r="O342" s="7">
        <v>376101.46</v>
      </c>
      <c r="P342" s="1">
        <f t="shared" si="360"/>
        <v>-21254.940000000002</v>
      </c>
      <c r="Q342" s="1">
        <f t="shared" si="361"/>
        <v>376101.46</v>
      </c>
      <c r="R342" s="41">
        <v>287166.74</v>
      </c>
      <c r="S342" s="1">
        <f t="shared" si="362"/>
        <v>-88934.72000000003</v>
      </c>
      <c r="T342" s="1">
        <f t="shared" si="363"/>
        <v>287166.74</v>
      </c>
      <c r="U342" s="41">
        <v>230561.52</v>
      </c>
      <c r="V342" s="1">
        <f t="shared" si="364"/>
        <v>-56605.22</v>
      </c>
      <c r="W342" s="1">
        <f t="shared" si="365"/>
        <v>230561.52</v>
      </c>
      <c r="X342" s="41">
        <v>184434.43</v>
      </c>
      <c r="Y342" s="41">
        <f t="shared" si="300"/>
        <v>-46127.09</v>
      </c>
      <c r="Z342" s="1">
        <f t="shared" si="366"/>
        <v>184434.43</v>
      </c>
      <c r="AA342" s="41">
        <v>182228.41</v>
      </c>
      <c r="AB342" s="41">
        <f t="shared" si="369"/>
        <v>-2206.0199999999895</v>
      </c>
      <c r="AC342" s="1">
        <f t="shared" si="367"/>
        <v>182228.41</v>
      </c>
      <c r="AD342" s="41">
        <v>166739.96</v>
      </c>
      <c r="AE342" s="1">
        <f t="shared" si="368"/>
        <v>-15488.450000000012</v>
      </c>
      <c r="AF342" s="1">
        <f t="shared" si="348"/>
        <v>166739.96</v>
      </c>
    </row>
    <row r="343" spans="1:32" s="2" customFormat="1" outlineLevel="1">
      <c r="A343" s="42">
        <v>23113</v>
      </c>
      <c r="B343" s="11">
        <v>13100</v>
      </c>
      <c r="C343" s="11" t="s">
        <v>342</v>
      </c>
      <c r="D343" s="7">
        <v>202143.7</v>
      </c>
      <c r="E343" s="7">
        <v>221875.35</v>
      </c>
      <c r="F343" s="7">
        <f t="shared" si="357"/>
        <v>-19731.649999999994</v>
      </c>
      <c r="G343" s="7">
        <v>19731.650000000001</v>
      </c>
      <c r="H343" s="7">
        <f t="shared" si="358"/>
        <v>221875.35</v>
      </c>
      <c r="I343" s="7">
        <v>35209.019999999997</v>
      </c>
      <c r="J343" s="7">
        <f t="shared" si="359"/>
        <v>186666.33000000002</v>
      </c>
      <c r="K343" s="7">
        <v>-186666.33</v>
      </c>
      <c r="L343" s="7">
        <v>35209.019999999997</v>
      </c>
      <c r="M343" s="7">
        <f>85327.54-L343</f>
        <v>50118.52</v>
      </c>
      <c r="N343" s="7">
        <f t="shared" si="341"/>
        <v>85327.54</v>
      </c>
      <c r="O343" s="7">
        <v>32680.06</v>
      </c>
      <c r="P343" s="1">
        <f t="shared" si="360"/>
        <v>-52647.479999999996</v>
      </c>
      <c r="Q343" s="1">
        <f t="shared" si="361"/>
        <v>32680.059999999998</v>
      </c>
      <c r="R343" s="41">
        <v>17062.080000000002</v>
      </c>
      <c r="S343" s="1">
        <f t="shared" si="362"/>
        <v>-15617.979999999996</v>
      </c>
      <c r="T343" s="1">
        <f t="shared" si="363"/>
        <v>17062.080000000002</v>
      </c>
      <c r="U343" s="41">
        <v>8432.9</v>
      </c>
      <c r="V343" s="1">
        <f t="shared" si="364"/>
        <v>-8629.1800000000021</v>
      </c>
      <c r="W343" s="1">
        <f t="shared" si="365"/>
        <v>8432.9</v>
      </c>
      <c r="X343" s="41">
        <v>8707.7000000000007</v>
      </c>
      <c r="Y343" s="41">
        <f t="shared" si="300"/>
        <v>274.80000000000109</v>
      </c>
      <c r="Z343" s="1">
        <f t="shared" si="366"/>
        <v>8707.7000000000007</v>
      </c>
      <c r="AA343" s="41">
        <v>8795.2199999999993</v>
      </c>
      <c r="AB343" s="41">
        <f t="shared" si="369"/>
        <v>87.519999999998618</v>
      </c>
      <c r="AC343" s="1">
        <f t="shared" si="367"/>
        <v>8795.2199999999993</v>
      </c>
      <c r="AD343" s="41">
        <v>9454.24</v>
      </c>
      <c r="AE343" s="1">
        <f t="shared" si="368"/>
        <v>659.02000000000044</v>
      </c>
      <c r="AF343" s="1">
        <f t="shared" si="348"/>
        <v>9454.24</v>
      </c>
    </row>
    <row r="344" spans="1:32" s="2" customFormat="1" outlineLevel="1">
      <c r="A344" s="42">
        <v>23113</v>
      </c>
      <c r="B344" s="11">
        <v>13101</v>
      </c>
      <c r="C344" s="11" t="s">
        <v>343</v>
      </c>
      <c r="D344" s="7">
        <v>195898.92</v>
      </c>
      <c r="E344" s="7">
        <v>213705.18</v>
      </c>
      <c r="F344" s="7">
        <f t="shared" si="357"/>
        <v>-17806.25999999998</v>
      </c>
      <c r="G344" s="7">
        <v>17806.259999999998</v>
      </c>
      <c r="H344" s="7">
        <f t="shared" si="358"/>
        <v>213705.18000000002</v>
      </c>
      <c r="I344" s="7">
        <v>40319.019999999997</v>
      </c>
      <c r="J344" s="7">
        <f t="shared" si="359"/>
        <v>173386.16000000003</v>
      </c>
      <c r="K344" s="7">
        <v>-173386.16</v>
      </c>
      <c r="L344" s="7">
        <v>40319.019999999997</v>
      </c>
      <c r="M344" s="7">
        <f>52925.04-L344</f>
        <v>12606.020000000004</v>
      </c>
      <c r="N344" s="7">
        <f t="shared" si="341"/>
        <v>52925.04</v>
      </c>
      <c r="O344" s="7">
        <v>38093.58</v>
      </c>
      <c r="P344" s="1">
        <f t="shared" si="360"/>
        <v>-14831.46</v>
      </c>
      <c r="Q344" s="1">
        <f t="shared" si="361"/>
        <v>38093.58</v>
      </c>
      <c r="R344" s="41">
        <v>22038.799999999999</v>
      </c>
      <c r="S344" s="1">
        <f t="shared" si="362"/>
        <v>-16054.780000000002</v>
      </c>
      <c r="T344" s="1">
        <f t="shared" si="363"/>
        <v>22038.799999999999</v>
      </c>
      <c r="U344" s="41">
        <v>8966.58</v>
      </c>
      <c r="V344" s="1">
        <f t="shared" si="364"/>
        <v>-13072.22</v>
      </c>
      <c r="W344" s="1">
        <f t="shared" si="365"/>
        <v>8966.58</v>
      </c>
      <c r="X344" s="41">
        <v>9056.25</v>
      </c>
      <c r="Y344" s="41">
        <f t="shared" si="300"/>
        <v>89.670000000000073</v>
      </c>
      <c r="Z344" s="1">
        <f t="shared" si="366"/>
        <v>9056.25</v>
      </c>
      <c r="AA344" s="41">
        <v>9146.89</v>
      </c>
      <c r="AB344" s="41">
        <f t="shared" si="369"/>
        <v>90.639999999999418</v>
      </c>
      <c r="AC344" s="1">
        <f t="shared" si="367"/>
        <v>9146.89</v>
      </c>
      <c r="AD344" s="41">
        <v>11511.38</v>
      </c>
      <c r="AE344" s="1">
        <f t="shared" si="368"/>
        <v>2364.4899999999998</v>
      </c>
      <c r="AF344" s="1">
        <f t="shared" si="348"/>
        <v>11511.38</v>
      </c>
    </row>
    <row r="345" spans="1:32" s="2" customFormat="1" outlineLevel="1">
      <c r="A345" s="42">
        <v>23113</v>
      </c>
      <c r="B345" s="11">
        <v>15000</v>
      </c>
      <c r="C345" s="11" t="s">
        <v>387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>
        <v>0</v>
      </c>
      <c r="O345" s="7">
        <v>500</v>
      </c>
      <c r="P345" s="1">
        <f t="shared" si="360"/>
        <v>500</v>
      </c>
      <c r="Q345" s="1">
        <f t="shared" si="361"/>
        <v>500</v>
      </c>
      <c r="R345" s="41">
        <v>600</v>
      </c>
      <c r="S345" s="1">
        <f t="shared" si="362"/>
        <v>100</v>
      </c>
      <c r="T345" s="1">
        <f t="shared" si="363"/>
        <v>600</v>
      </c>
      <c r="U345" s="41">
        <v>600</v>
      </c>
      <c r="V345" s="1">
        <f t="shared" si="364"/>
        <v>0</v>
      </c>
      <c r="W345" s="1">
        <f t="shared" si="365"/>
        <v>600</v>
      </c>
      <c r="X345" s="41">
        <v>10000</v>
      </c>
      <c r="Y345" s="41">
        <f t="shared" si="300"/>
        <v>9400</v>
      </c>
      <c r="Z345" s="1">
        <f t="shared" si="366"/>
        <v>10000</v>
      </c>
      <c r="AA345" s="41">
        <v>70000</v>
      </c>
      <c r="AB345" s="41">
        <f t="shared" si="369"/>
        <v>60000</v>
      </c>
      <c r="AC345" s="1">
        <f t="shared" si="367"/>
        <v>70000</v>
      </c>
      <c r="AD345" s="41">
        <v>70000</v>
      </c>
      <c r="AE345" s="1">
        <f t="shared" si="368"/>
        <v>0</v>
      </c>
      <c r="AF345" s="1">
        <f t="shared" si="348"/>
        <v>70000</v>
      </c>
    </row>
    <row r="346" spans="1:32" s="2" customFormat="1" outlineLevel="1">
      <c r="A346" s="42">
        <v>23113</v>
      </c>
      <c r="B346" s="19">
        <v>15100</v>
      </c>
      <c r="C346" s="19" t="s">
        <v>662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>
        <v>0</v>
      </c>
      <c r="O346" s="7">
        <v>5200</v>
      </c>
      <c r="P346" s="1">
        <f t="shared" si="360"/>
        <v>5200</v>
      </c>
      <c r="Q346" s="1">
        <f t="shared" si="361"/>
        <v>5200</v>
      </c>
      <c r="R346" s="41">
        <v>7000</v>
      </c>
      <c r="S346" s="1">
        <f t="shared" si="362"/>
        <v>1800</v>
      </c>
      <c r="T346" s="1">
        <f t="shared" si="363"/>
        <v>7000</v>
      </c>
      <c r="U346" s="41">
        <v>7000</v>
      </c>
      <c r="V346" s="1">
        <f t="shared" si="364"/>
        <v>0</v>
      </c>
      <c r="W346" s="1">
        <f t="shared" si="365"/>
        <v>7000</v>
      </c>
      <c r="X346" s="41">
        <v>7000</v>
      </c>
      <c r="Y346" s="41">
        <f t="shared" si="300"/>
        <v>0</v>
      </c>
      <c r="Z346" s="1">
        <f t="shared" si="366"/>
        <v>7000</v>
      </c>
      <c r="AA346" s="41">
        <v>7000</v>
      </c>
      <c r="AB346" s="41">
        <f t="shared" si="369"/>
        <v>0</v>
      </c>
      <c r="AC346" s="1">
        <f t="shared" si="367"/>
        <v>7000</v>
      </c>
      <c r="AD346" s="41">
        <v>0</v>
      </c>
      <c r="AE346" s="1">
        <f t="shared" si="368"/>
        <v>-7000</v>
      </c>
      <c r="AF346" s="1">
        <f t="shared" si="348"/>
        <v>0</v>
      </c>
    </row>
    <row r="347" spans="1:32" s="2" customFormat="1" outlineLevel="1">
      <c r="A347" s="13">
        <v>23113</v>
      </c>
      <c r="B347" s="60">
        <v>16000</v>
      </c>
      <c r="C347" s="56" t="s">
        <v>749</v>
      </c>
      <c r="D347" s="62"/>
      <c r="E347" s="64"/>
      <c r="F347" s="62"/>
      <c r="G347" s="64"/>
      <c r="H347" s="62"/>
      <c r="I347" s="64"/>
      <c r="J347" s="62"/>
      <c r="K347" s="64"/>
      <c r="L347" s="62"/>
      <c r="M347" s="63"/>
      <c r="N347" s="53"/>
      <c r="O347" s="53"/>
      <c r="P347" s="53"/>
      <c r="Q347" s="53"/>
      <c r="R347" s="58"/>
      <c r="S347" s="53"/>
      <c r="T347" s="53">
        <f t="shared" si="363"/>
        <v>0</v>
      </c>
      <c r="U347" s="63"/>
      <c r="V347" s="53">
        <f t="shared" si="364"/>
        <v>0</v>
      </c>
      <c r="W347" s="53">
        <f t="shared" si="365"/>
        <v>0</v>
      </c>
      <c r="X347" s="41">
        <v>0</v>
      </c>
      <c r="Y347" s="41">
        <f t="shared" si="300"/>
        <v>0</v>
      </c>
      <c r="Z347" s="1">
        <f t="shared" si="366"/>
        <v>0</v>
      </c>
      <c r="AA347" s="41">
        <v>0</v>
      </c>
      <c r="AB347" s="41">
        <f t="shared" si="369"/>
        <v>0</v>
      </c>
      <c r="AC347" s="1">
        <f t="shared" si="367"/>
        <v>0</v>
      </c>
      <c r="AD347" s="41">
        <v>512732.25</v>
      </c>
      <c r="AE347" s="1">
        <f t="shared" si="368"/>
        <v>512732.25</v>
      </c>
      <c r="AF347" s="1">
        <f t="shared" si="348"/>
        <v>512732.25</v>
      </c>
    </row>
    <row r="348" spans="1:32" s="2" customFormat="1" outlineLevel="1">
      <c r="A348" s="42">
        <v>23113</v>
      </c>
      <c r="B348" s="11">
        <v>20300</v>
      </c>
      <c r="C348" s="11" t="s">
        <v>344</v>
      </c>
      <c r="D348" s="7">
        <v>628.29999999999995</v>
      </c>
      <c r="E348" s="7">
        <v>748.6</v>
      </c>
      <c r="F348" s="7">
        <f t="shared" si="357"/>
        <v>-120.30000000000007</v>
      </c>
      <c r="G348" s="7">
        <v>120.3</v>
      </c>
      <c r="H348" s="7">
        <f t="shared" si="358"/>
        <v>748.59999999999991</v>
      </c>
      <c r="I348" s="7"/>
      <c r="J348" s="7">
        <f t="shared" si="359"/>
        <v>748.59999999999991</v>
      </c>
      <c r="K348" s="7"/>
      <c r="L348" s="7">
        <v>748.6</v>
      </c>
      <c r="M348" s="7">
        <v>0</v>
      </c>
      <c r="N348" s="7">
        <f t="shared" si="341"/>
        <v>748.6</v>
      </c>
      <c r="O348" s="7"/>
      <c r="P348" s="3"/>
      <c r="Q348" s="1">
        <f t="shared" si="361"/>
        <v>748.6</v>
      </c>
      <c r="R348" s="3"/>
      <c r="S348" s="3"/>
      <c r="T348" s="1">
        <f t="shared" si="363"/>
        <v>748.6</v>
      </c>
      <c r="U348" s="1">
        <f t="shared" si="363"/>
        <v>748.6</v>
      </c>
      <c r="V348" s="1">
        <f t="shared" si="364"/>
        <v>0</v>
      </c>
      <c r="W348" s="1">
        <f t="shared" si="365"/>
        <v>748.6</v>
      </c>
      <c r="X348" s="41">
        <v>2500</v>
      </c>
      <c r="Y348" s="41">
        <f t="shared" si="300"/>
        <v>1751.4</v>
      </c>
      <c r="Z348" s="1">
        <f t="shared" si="366"/>
        <v>2500</v>
      </c>
      <c r="AA348" s="41">
        <v>4000</v>
      </c>
      <c r="AB348" s="41">
        <f t="shared" si="369"/>
        <v>1500</v>
      </c>
      <c r="AC348" s="1">
        <f t="shared" si="367"/>
        <v>4000</v>
      </c>
      <c r="AD348" s="41">
        <v>5000</v>
      </c>
      <c r="AE348" s="1">
        <f t="shared" si="368"/>
        <v>1000</v>
      </c>
      <c r="AF348" s="1">
        <f t="shared" si="348"/>
        <v>5000</v>
      </c>
    </row>
    <row r="349" spans="1:32" s="2" customFormat="1" outlineLevel="1">
      <c r="A349" s="42">
        <v>23113</v>
      </c>
      <c r="B349" s="11">
        <v>21200</v>
      </c>
      <c r="C349" s="11" t="s">
        <v>345</v>
      </c>
      <c r="D349" s="7">
        <v>5000</v>
      </c>
      <c r="E349" s="7">
        <v>10000</v>
      </c>
      <c r="F349" s="7">
        <f t="shared" si="357"/>
        <v>-5000</v>
      </c>
      <c r="G349" s="7">
        <v>5000</v>
      </c>
      <c r="H349" s="7">
        <f t="shared" si="358"/>
        <v>10000</v>
      </c>
      <c r="I349" s="7"/>
      <c r="J349" s="7">
        <f t="shared" si="359"/>
        <v>10000</v>
      </c>
      <c r="K349" s="7"/>
      <c r="L349" s="7">
        <v>10000</v>
      </c>
      <c r="M349" s="7">
        <v>0</v>
      </c>
      <c r="N349" s="7">
        <f t="shared" si="341"/>
        <v>10000</v>
      </c>
      <c r="O349" s="7"/>
      <c r="P349" s="3"/>
      <c r="Q349" s="1">
        <f t="shared" si="361"/>
        <v>10000</v>
      </c>
      <c r="R349" s="3"/>
      <c r="S349" s="3"/>
      <c r="T349" s="1">
        <f t="shared" si="363"/>
        <v>10000</v>
      </c>
      <c r="U349" s="1">
        <f t="shared" si="363"/>
        <v>10000</v>
      </c>
      <c r="V349" s="1">
        <f t="shared" si="364"/>
        <v>0</v>
      </c>
      <c r="W349" s="1">
        <f t="shared" si="365"/>
        <v>10000</v>
      </c>
      <c r="X349" s="41">
        <v>15000</v>
      </c>
      <c r="Y349" s="41">
        <f t="shared" si="300"/>
        <v>5000</v>
      </c>
      <c r="Z349" s="1">
        <f t="shared" si="366"/>
        <v>15000</v>
      </c>
      <c r="AA349" s="41">
        <v>30000</v>
      </c>
      <c r="AB349" s="41">
        <f t="shared" si="369"/>
        <v>15000</v>
      </c>
      <c r="AC349" s="1">
        <f t="shared" si="367"/>
        <v>30000</v>
      </c>
      <c r="AD349" s="41">
        <v>5000</v>
      </c>
      <c r="AE349" s="1">
        <f t="shared" si="368"/>
        <v>-25000</v>
      </c>
      <c r="AF349" s="1">
        <f t="shared" si="348"/>
        <v>5000</v>
      </c>
    </row>
    <row r="350" spans="1:32" s="2" customFormat="1" outlineLevel="1">
      <c r="A350" s="42">
        <v>23113</v>
      </c>
      <c r="B350" s="11">
        <v>21300</v>
      </c>
      <c r="C350" s="11" t="s">
        <v>346</v>
      </c>
      <c r="D350" s="7">
        <v>9000</v>
      </c>
      <c r="E350" s="7">
        <v>0</v>
      </c>
      <c r="F350" s="7">
        <f t="shared" si="357"/>
        <v>9000</v>
      </c>
      <c r="G350" s="7">
        <v>0</v>
      </c>
      <c r="H350" s="7">
        <f t="shared" si="358"/>
        <v>9000</v>
      </c>
      <c r="I350" s="7"/>
      <c r="J350" s="7">
        <f t="shared" si="359"/>
        <v>9000</v>
      </c>
      <c r="K350" s="7"/>
      <c r="L350" s="7">
        <v>9000</v>
      </c>
      <c r="M350" s="7">
        <v>-4000</v>
      </c>
      <c r="N350" s="7">
        <f t="shared" si="341"/>
        <v>5000</v>
      </c>
      <c r="O350" s="7"/>
      <c r="P350" s="3"/>
      <c r="Q350" s="1">
        <f t="shared" si="361"/>
        <v>5000</v>
      </c>
      <c r="R350" s="3"/>
      <c r="S350" s="3"/>
      <c r="T350" s="1">
        <f t="shared" si="363"/>
        <v>5000</v>
      </c>
      <c r="U350" s="1">
        <f t="shared" si="363"/>
        <v>5000</v>
      </c>
      <c r="V350" s="1">
        <f t="shared" si="364"/>
        <v>0</v>
      </c>
      <c r="W350" s="1">
        <f t="shared" si="365"/>
        <v>5000</v>
      </c>
      <c r="X350" s="41">
        <v>10000</v>
      </c>
      <c r="Y350" s="41">
        <f t="shared" si="300"/>
        <v>5000</v>
      </c>
      <c r="Z350" s="1">
        <f t="shared" si="366"/>
        <v>10000</v>
      </c>
      <c r="AA350" s="41">
        <v>13000</v>
      </c>
      <c r="AB350" s="41">
        <f t="shared" si="369"/>
        <v>3000</v>
      </c>
      <c r="AC350" s="1">
        <f t="shared" si="367"/>
        <v>13000</v>
      </c>
      <c r="AD350" s="41">
        <v>15000</v>
      </c>
      <c r="AE350" s="1">
        <f t="shared" si="368"/>
        <v>2000</v>
      </c>
      <c r="AF350" s="1">
        <f t="shared" si="348"/>
        <v>15000</v>
      </c>
    </row>
    <row r="351" spans="1:32" s="2" customFormat="1" outlineLevel="1">
      <c r="A351" s="42">
        <v>23113</v>
      </c>
      <c r="B351" s="11">
        <v>21400</v>
      </c>
      <c r="C351" s="11" t="s">
        <v>347</v>
      </c>
      <c r="D351" s="7">
        <v>2564.6999999999998</v>
      </c>
      <c r="E351" s="7">
        <v>1119.99</v>
      </c>
      <c r="F351" s="7">
        <f t="shared" si="357"/>
        <v>1444.7099999999998</v>
      </c>
      <c r="G351" s="7">
        <v>-1444.71</v>
      </c>
      <c r="H351" s="7">
        <f t="shared" si="358"/>
        <v>1119.9899999999998</v>
      </c>
      <c r="I351" s="7"/>
      <c r="J351" s="7">
        <f t="shared" si="359"/>
        <v>1119.9899999999998</v>
      </c>
      <c r="K351" s="7"/>
      <c r="L351" s="7">
        <v>1119.99</v>
      </c>
      <c r="M351" s="7">
        <v>0</v>
      </c>
      <c r="N351" s="7">
        <f t="shared" si="341"/>
        <v>1119.99</v>
      </c>
      <c r="O351" s="7"/>
      <c r="P351" s="3"/>
      <c r="Q351" s="1">
        <f t="shared" si="361"/>
        <v>1119.99</v>
      </c>
      <c r="R351" s="3"/>
      <c r="S351" s="3"/>
      <c r="T351" s="1">
        <f t="shared" si="363"/>
        <v>1119.99</v>
      </c>
      <c r="U351" s="1">
        <f t="shared" si="363"/>
        <v>1119.99</v>
      </c>
      <c r="V351" s="1">
        <f t="shared" si="364"/>
        <v>0</v>
      </c>
      <c r="W351" s="1">
        <f t="shared" si="365"/>
        <v>1119.99</v>
      </c>
      <c r="X351" s="41">
        <v>600</v>
      </c>
      <c r="Y351" s="41">
        <f t="shared" si="300"/>
        <v>-519.99</v>
      </c>
      <c r="Z351" s="1">
        <f t="shared" si="366"/>
        <v>600</v>
      </c>
      <c r="AA351" s="41">
        <v>2600</v>
      </c>
      <c r="AB351" s="41">
        <f t="shared" si="369"/>
        <v>2000</v>
      </c>
      <c r="AC351" s="1">
        <f t="shared" si="367"/>
        <v>2600</v>
      </c>
      <c r="AD351" s="41">
        <v>4000</v>
      </c>
      <c r="AE351" s="1">
        <f t="shared" si="368"/>
        <v>1400</v>
      </c>
      <c r="AF351" s="1">
        <f t="shared" si="348"/>
        <v>4000</v>
      </c>
    </row>
    <row r="352" spans="1:32" s="2" customFormat="1" outlineLevel="1">
      <c r="A352" s="42">
        <v>23113</v>
      </c>
      <c r="B352" s="11">
        <v>22000</v>
      </c>
      <c r="C352" s="11" t="s">
        <v>348</v>
      </c>
      <c r="D352" s="7">
        <v>1030</v>
      </c>
      <c r="E352" s="7">
        <v>550</v>
      </c>
      <c r="F352" s="7">
        <f t="shared" si="357"/>
        <v>480</v>
      </c>
      <c r="G352" s="7">
        <v>-480</v>
      </c>
      <c r="H352" s="7">
        <f t="shared" si="358"/>
        <v>550</v>
      </c>
      <c r="I352" s="7"/>
      <c r="J352" s="7">
        <f t="shared" si="359"/>
        <v>550</v>
      </c>
      <c r="K352" s="7"/>
      <c r="L352" s="7">
        <v>550</v>
      </c>
      <c r="M352" s="7">
        <v>0</v>
      </c>
      <c r="N352" s="7">
        <f t="shared" si="341"/>
        <v>550</v>
      </c>
      <c r="O352" s="7"/>
      <c r="P352" s="3"/>
      <c r="Q352" s="1">
        <f t="shared" si="361"/>
        <v>550</v>
      </c>
      <c r="R352" s="3"/>
      <c r="S352" s="3"/>
      <c r="T352" s="1">
        <f t="shared" si="363"/>
        <v>550</v>
      </c>
      <c r="U352" s="1">
        <f t="shared" si="363"/>
        <v>550</v>
      </c>
      <c r="V352" s="1">
        <f t="shared" si="364"/>
        <v>0</v>
      </c>
      <c r="W352" s="1">
        <f t="shared" si="365"/>
        <v>550</v>
      </c>
      <c r="X352" s="41">
        <v>100</v>
      </c>
      <c r="Y352" s="41">
        <f t="shared" si="300"/>
        <v>-450</v>
      </c>
      <c r="Z352" s="1">
        <f t="shared" si="366"/>
        <v>100</v>
      </c>
      <c r="AA352" s="41">
        <v>2000</v>
      </c>
      <c r="AB352" s="41">
        <f t="shared" si="369"/>
        <v>1900</v>
      </c>
      <c r="AC352" s="1">
        <f t="shared" si="367"/>
        <v>2000</v>
      </c>
      <c r="AD352" s="41">
        <v>4000</v>
      </c>
      <c r="AE352" s="1">
        <f t="shared" si="368"/>
        <v>2000</v>
      </c>
      <c r="AF352" s="1">
        <f t="shared" si="348"/>
        <v>4000</v>
      </c>
    </row>
    <row r="353" spans="1:32" s="2" customFormat="1" outlineLevel="1">
      <c r="A353" s="42">
        <v>23113</v>
      </c>
      <c r="B353" s="11">
        <v>22001</v>
      </c>
      <c r="C353" s="11" t="s">
        <v>349</v>
      </c>
      <c r="D353" s="7">
        <v>2300</v>
      </c>
      <c r="E353" s="7">
        <v>1296.81</v>
      </c>
      <c r="F353" s="7">
        <f t="shared" si="357"/>
        <v>1003.19</v>
      </c>
      <c r="G353" s="7">
        <v>-1003.19</v>
      </c>
      <c r="H353" s="7">
        <f t="shared" si="358"/>
        <v>1296.81</v>
      </c>
      <c r="I353" s="7"/>
      <c r="J353" s="7">
        <f t="shared" si="359"/>
        <v>1296.81</v>
      </c>
      <c r="K353" s="7"/>
      <c r="L353" s="7">
        <v>1296.81</v>
      </c>
      <c r="M353" s="7">
        <v>0</v>
      </c>
      <c r="N353" s="7">
        <f t="shared" si="341"/>
        <v>1296.81</v>
      </c>
      <c r="O353" s="7"/>
      <c r="P353" s="3"/>
      <c r="Q353" s="1">
        <f t="shared" si="361"/>
        <v>1296.81</v>
      </c>
      <c r="R353" s="3"/>
      <c r="S353" s="3"/>
      <c r="T353" s="1">
        <f t="shared" si="363"/>
        <v>1296.81</v>
      </c>
      <c r="U353" s="1">
        <f t="shared" si="363"/>
        <v>1296.81</v>
      </c>
      <c r="V353" s="1">
        <f t="shared" si="364"/>
        <v>0</v>
      </c>
      <c r="W353" s="1">
        <f t="shared" si="365"/>
        <v>1296.81</v>
      </c>
      <c r="X353" s="41">
        <v>0</v>
      </c>
      <c r="Y353" s="41">
        <f t="shared" si="300"/>
        <v>-1296.81</v>
      </c>
      <c r="Z353" s="1">
        <f t="shared" si="366"/>
        <v>0</v>
      </c>
      <c r="AA353" s="41">
        <v>1100</v>
      </c>
      <c r="AB353" s="41">
        <f t="shared" si="369"/>
        <v>1100</v>
      </c>
      <c r="AC353" s="1">
        <f t="shared" si="367"/>
        <v>1100</v>
      </c>
      <c r="AD353" s="41">
        <v>1100</v>
      </c>
      <c r="AE353" s="1">
        <f t="shared" si="368"/>
        <v>0</v>
      </c>
      <c r="AF353" s="1">
        <f t="shared" si="348"/>
        <v>1100</v>
      </c>
    </row>
    <row r="354" spans="1:32" s="2" customFormat="1" outlineLevel="1">
      <c r="A354" s="42">
        <v>23113</v>
      </c>
      <c r="B354" s="11">
        <v>22103</v>
      </c>
      <c r="C354" s="11" t="s">
        <v>350</v>
      </c>
      <c r="D354" s="7">
        <v>55000</v>
      </c>
      <c r="E354" s="7">
        <v>50000</v>
      </c>
      <c r="F354" s="7">
        <f t="shared" si="357"/>
        <v>5000</v>
      </c>
      <c r="G354" s="7">
        <v>-5000</v>
      </c>
      <c r="H354" s="7">
        <f t="shared" si="358"/>
        <v>50000</v>
      </c>
      <c r="I354" s="7"/>
      <c r="J354" s="7">
        <f t="shared" si="359"/>
        <v>50000</v>
      </c>
      <c r="K354" s="7"/>
      <c r="L354" s="7">
        <v>50000</v>
      </c>
      <c r="M354" s="7">
        <v>0</v>
      </c>
      <c r="N354" s="7">
        <f t="shared" si="341"/>
        <v>50000</v>
      </c>
      <c r="O354" s="7"/>
      <c r="P354" s="3"/>
      <c r="Q354" s="1">
        <f t="shared" si="361"/>
        <v>50000</v>
      </c>
      <c r="R354" s="3"/>
      <c r="S354" s="3"/>
      <c r="T354" s="1">
        <f t="shared" si="363"/>
        <v>50000</v>
      </c>
      <c r="U354" s="1">
        <f t="shared" si="363"/>
        <v>50000</v>
      </c>
      <c r="V354" s="1">
        <f t="shared" si="364"/>
        <v>0</v>
      </c>
      <c r="W354" s="1">
        <f t="shared" si="365"/>
        <v>50000</v>
      </c>
      <c r="X354" s="41">
        <v>40000</v>
      </c>
      <c r="Y354" s="41">
        <f t="shared" si="300"/>
        <v>-10000</v>
      </c>
      <c r="Z354" s="1">
        <f t="shared" si="366"/>
        <v>40000</v>
      </c>
      <c r="AA354" s="41">
        <v>45000</v>
      </c>
      <c r="AB354" s="41">
        <f t="shared" si="369"/>
        <v>5000</v>
      </c>
      <c r="AC354" s="1">
        <f t="shared" si="367"/>
        <v>45000</v>
      </c>
      <c r="AD354" s="41">
        <v>45000</v>
      </c>
      <c r="AE354" s="1">
        <f t="shared" si="368"/>
        <v>0</v>
      </c>
      <c r="AF354" s="1">
        <f t="shared" si="348"/>
        <v>45000</v>
      </c>
    </row>
    <row r="355" spans="1:32" s="2" customFormat="1" outlineLevel="1">
      <c r="A355" s="42">
        <v>23113</v>
      </c>
      <c r="B355" s="11">
        <v>22101</v>
      </c>
      <c r="C355" s="39" t="s">
        <v>248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3"/>
      <c r="Q355" s="1"/>
      <c r="R355" s="3"/>
      <c r="S355" s="3"/>
      <c r="T355" s="1"/>
      <c r="U355" s="1"/>
      <c r="V355" s="1"/>
      <c r="W355" s="1"/>
      <c r="X355" s="41"/>
      <c r="Y355" s="41"/>
      <c r="Z355" s="1">
        <v>0</v>
      </c>
      <c r="AA355" s="41">
        <v>500</v>
      </c>
      <c r="AB355" s="41">
        <f t="shared" si="369"/>
        <v>500</v>
      </c>
      <c r="AC355" s="1">
        <f t="shared" si="367"/>
        <v>500</v>
      </c>
      <c r="AD355" s="41">
        <v>500</v>
      </c>
      <c r="AE355" s="1">
        <f t="shared" si="368"/>
        <v>0</v>
      </c>
      <c r="AF355" s="1">
        <f t="shared" si="348"/>
        <v>500</v>
      </c>
    </row>
    <row r="356" spans="1:32" s="2" customFormat="1" outlineLevel="1">
      <c r="A356" s="42">
        <v>23113</v>
      </c>
      <c r="B356" s="11">
        <v>22104</v>
      </c>
      <c r="C356" s="11" t="s">
        <v>351</v>
      </c>
      <c r="D356" s="7">
        <v>7725</v>
      </c>
      <c r="E356" s="7">
        <v>6500</v>
      </c>
      <c r="F356" s="7">
        <f t="shared" si="357"/>
        <v>1225</v>
      </c>
      <c r="G356" s="7">
        <v>-1225</v>
      </c>
      <c r="H356" s="7">
        <f t="shared" si="358"/>
        <v>6500</v>
      </c>
      <c r="I356" s="7"/>
      <c r="J356" s="7">
        <f t="shared" si="359"/>
        <v>6500</v>
      </c>
      <c r="K356" s="7"/>
      <c r="L356" s="7">
        <v>6500</v>
      </c>
      <c r="M356" s="7">
        <v>0</v>
      </c>
      <c r="N356" s="7">
        <f t="shared" si="341"/>
        <v>6500</v>
      </c>
      <c r="O356" s="7"/>
      <c r="P356" s="3"/>
      <c r="Q356" s="1">
        <f t="shared" si="361"/>
        <v>6500</v>
      </c>
      <c r="R356" s="3"/>
      <c r="S356" s="3"/>
      <c r="T356" s="1">
        <f t="shared" si="363"/>
        <v>6500</v>
      </c>
      <c r="U356" s="1">
        <f t="shared" si="363"/>
        <v>6500</v>
      </c>
      <c r="V356" s="1">
        <f t="shared" si="364"/>
        <v>0</v>
      </c>
      <c r="W356" s="1">
        <f t="shared" si="365"/>
        <v>6500</v>
      </c>
      <c r="X356" s="41">
        <v>1000</v>
      </c>
      <c r="Y356" s="41">
        <f t="shared" si="300"/>
        <v>-5500</v>
      </c>
      <c r="Z356" s="1">
        <f t="shared" si="366"/>
        <v>1000</v>
      </c>
      <c r="AA356" s="41">
        <v>6000</v>
      </c>
      <c r="AB356" s="41">
        <f t="shared" si="369"/>
        <v>5000</v>
      </c>
      <c r="AC356" s="1">
        <f t="shared" si="367"/>
        <v>6000</v>
      </c>
      <c r="AD356" s="41">
        <v>6000</v>
      </c>
      <c r="AE356" s="1">
        <f t="shared" si="368"/>
        <v>0</v>
      </c>
      <c r="AF356" s="1">
        <f t="shared" si="348"/>
        <v>6000</v>
      </c>
    </row>
    <row r="357" spans="1:32" s="2" customFormat="1" outlineLevel="1">
      <c r="A357" s="42">
        <v>23113</v>
      </c>
      <c r="B357" s="11">
        <v>22105</v>
      </c>
      <c r="C357" s="11" t="s">
        <v>352</v>
      </c>
      <c r="D357" s="7">
        <v>150000</v>
      </c>
      <c r="E357" s="7">
        <v>150000</v>
      </c>
      <c r="F357" s="7">
        <f t="shared" si="357"/>
        <v>0</v>
      </c>
      <c r="G357" s="7">
        <v>0</v>
      </c>
      <c r="H357" s="7">
        <f t="shared" si="358"/>
        <v>150000</v>
      </c>
      <c r="I357" s="7"/>
      <c r="J357" s="7">
        <f t="shared" si="359"/>
        <v>150000</v>
      </c>
      <c r="K357" s="7"/>
      <c r="L357" s="7">
        <v>150000</v>
      </c>
      <c r="M357" s="7">
        <v>0</v>
      </c>
      <c r="N357" s="7">
        <f t="shared" si="341"/>
        <v>150000</v>
      </c>
      <c r="O357" s="7"/>
      <c r="P357" s="3"/>
      <c r="Q357" s="1">
        <f t="shared" si="361"/>
        <v>150000</v>
      </c>
      <c r="R357" s="3"/>
      <c r="S357" s="3"/>
      <c r="T357" s="1">
        <f t="shared" si="363"/>
        <v>150000</v>
      </c>
      <c r="U357" s="1">
        <f t="shared" si="363"/>
        <v>150000</v>
      </c>
      <c r="V357" s="1">
        <f t="shared" si="364"/>
        <v>0</v>
      </c>
      <c r="W357" s="1">
        <f t="shared" si="365"/>
        <v>150000</v>
      </c>
      <c r="X357" s="41">
        <v>150000</v>
      </c>
      <c r="Y357" s="41">
        <f t="shared" si="300"/>
        <v>0</v>
      </c>
      <c r="Z357" s="1">
        <f t="shared" si="366"/>
        <v>150000</v>
      </c>
      <c r="AA357" s="41">
        <v>170000</v>
      </c>
      <c r="AB357" s="41">
        <f t="shared" si="369"/>
        <v>20000</v>
      </c>
      <c r="AC357" s="1">
        <f t="shared" si="367"/>
        <v>170000</v>
      </c>
      <c r="AD357" s="41">
        <v>175000</v>
      </c>
      <c r="AE357" s="1">
        <f t="shared" si="368"/>
        <v>5000</v>
      </c>
      <c r="AF357" s="1">
        <f t="shared" si="348"/>
        <v>175000</v>
      </c>
    </row>
    <row r="358" spans="1:32" outlineLevel="2">
      <c r="A358" s="42">
        <v>23113</v>
      </c>
      <c r="B358" s="11">
        <v>22106</v>
      </c>
      <c r="C358" s="11" t="s">
        <v>353</v>
      </c>
      <c r="D358" s="7">
        <v>6000</v>
      </c>
      <c r="E358" s="7">
        <v>6550</v>
      </c>
      <c r="F358" s="7">
        <f t="shared" si="357"/>
        <v>-550</v>
      </c>
      <c r="G358" s="7">
        <v>550</v>
      </c>
      <c r="H358" s="7">
        <f t="shared" si="358"/>
        <v>6550</v>
      </c>
      <c r="I358" s="7"/>
      <c r="J358" s="7">
        <f t="shared" si="359"/>
        <v>6550</v>
      </c>
      <c r="K358" s="7"/>
      <c r="L358" s="7">
        <v>6550</v>
      </c>
      <c r="M358" s="7">
        <v>0</v>
      </c>
      <c r="N358" s="7">
        <f t="shared" si="341"/>
        <v>6550</v>
      </c>
      <c r="O358" s="7"/>
      <c r="Q358" s="1">
        <f t="shared" si="361"/>
        <v>6550</v>
      </c>
      <c r="T358" s="1">
        <f t="shared" si="363"/>
        <v>6550</v>
      </c>
      <c r="U358" s="1">
        <f t="shared" si="363"/>
        <v>6550</v>
      </c>
      <c r="V358" s="1">
        <f t="shared" si="364"/>
        <v>0</v>
      </c>
      <c r="W358" s="1">
        <f t="shared" si="365"/>
        <v>6550</v>
      </c>
      <c r="X358" s="1">
        <v>9000</v>
      </c>
      <c r="Y358" s="41">
        <f t="shared" si="300"/>
        <v>2450</v>
      </c>
      <c r="Z358" s="1">
        <f t="shared" si="366"/>
        <v>9000</v>
      </c>
      <c r="AA358" s="1">
        <v>10000</v>
      </c>
      <c r="AB358" s="41">
        <f t="shared" si="369"/>
        <v>1000</v>
      </c>
      <c r="AC358" s="1">
        <f t="shared" si="367"/>
        <v>10000</v>
      </c>
      <c r="AD358" s="41">
        <v>5000</v>
      </c>
      <c r="AE358" s="1">
        <f t="shared" si="368"/>
        <v>-5000</v>
      </c>
      <c r="AF358" s="1">
        <f t="shared" si="348"/>
        <v>5000</v>
      </c>
    </row>
    <row r="359" spans="1:32" outlineLevel="2">
      <c r="A359" s="42">
        <v>23113</v>
      </c>
      <c r="B359" s="11">
        <v>22110</v>
      </c>
      <c r="C359" s="11" t="s">
        <v>354</v>
      </c>
      <c r="D359" s="7">
        <v>25900</v>
      </c>
      <c r="E359" s="7">
        <v>26000</v>
      </c>
      <c r="F359" s="7">
        <f t="shared" si="357"/>
        <v>-100</v>
      </c>
      <c r="G359" s="7">
        <v>100</v>
      </c>
      <c r="H359" s="7">
        <f t="shared" si="358"/>
        <v>26000</v>
      </c>
      <c r="I359" s="7"/>
      <c r="J359" s="7">
        <f t="shared" si="359"/>
        <v>26000</v>
      </c>
      <c r="K359" s="7"/>
      <c r="L359" s="7">
        <v>26000</v>
      </c>
      <c r="M359" s="7">
        <v>0</v>
      </c>
      <c r="N359" s="7">
        <f t="shared" si="341"/>
        <v>26000</v>
      </c>
      <c r="O359" s="7"/>
      <c r="Q359" s="1">
        <f t="shared" si="361"/>
        <v>26000</v>
      </c>
      <c r="T359" s="1">
        <f t="shared" si="363"/>
        <v>26000</v>
      </c>
      <c r="U359" s="1">
        <f t="shared" si="363"/>
        <v>26000</v>
      </c>
      <c r="V359" s="1">
        <f t="shared" si="364"/>
        <v>0</v>
      </c>
      <c r="W359" s="1">
        <f t="shared" si="365"/>
        <v>26000</v>
      </c>
      <c r="X359" s="1">
        <v>30000</v>
      </c>
      <c r="Y359" s="41">
        <f t="shared" ref="Y359:Y425" si="372">X359-W359</f>
        <v>4000</v>
      </c>
      <c r="Z359" s="1">
        <f t="shared" si="366"/>
        <v>30000</v>
      </c>
      <c r="AA359" s="1">
        <v>35000</v>
      </c>
      <c r="AB359" s="41">
        <f t="shared" si="369"/>
        <v>5000</v>
      </c>
      <c r="AC359" s="1">
        <f t="shared" si="367"/>
        <v>35000</v>
      </c>
      <c r="AD359" s="41">
        <v>38000</v>
      </c>
      <c r="AE359" s="1">
        <f t="shared" si="368"/>
        <v>3000</v>
      </c>
      <c r="AF359" s="1">
        <f t="shared" si="348"/>
        <v>38000</v>
      </c>
    </row>
    <row r="360" spans="1:32" outlineLevel="2">
      <c r="A360" s="42">
        <v>23113</v>
      </c>
      <c r="B360" s="11">
        <v>22199</v>
      </c>
      <c r="C360" s="11" t="s">
        <v>232</v>
      </c>
      <c r="D360" s="7">
        <v>10000</v>
      </c>
      <c r="E360" s="7">
        <v>15000</v>
      </c>
      <c r="F360" s="7">
        <f t="shared" si="357"/>
        <v>-5000</v>
      </c>
      <c r="G360" s="7">
        <v>5000</v>
      </c>
      <c r="H360" s="7">
        <f t="shared" si="358"/>
        <v>15000</v>
      </c>
      <c r="I360" s="7"/>
      <c r="J360" s="7">
        <f t="shared" si="359"/>
        <v>15000</v>
      </c>
      <c r="K360" s="7"/>
      <c r="L360" s="7">
        <v>15000</v>
      </c>
      <c r="M360" s="7">
        <v>0</v>
      </c>
      <c r="N360" s="7">
        <f t="shared" si="341"/>
        <v>15000</v>
      </c>
      <c r="O360" s="7"/>
      <c r="Q360" s="1">
        <f t="shared" si="361"/>
        <v>15000</v>
      </c>
      <c r="T360" s="1">
        <f t="shared" si="363"/>
        <v>15000</v>
      </c>
      <c r="U360" s="1">
        <f t="shared" si="363"/>
        <v>15000</v>
      </c>
      <c r="V360" s="1">
        <f t="shared" si="364"/>
        <v>0</v>
      </c>
      <c r="W360" s="1">
        <f t="shared" si="365"/>
        <v>15000</v>
      </c>
      <c r="X360" s="1">
        <v>15000</v>
      </c>
      <c r="Y360" s="41">
        <f t="shared" si="372"/>
        <v>0</v>
      </c>
      <c r="Z360" s="1">
        <f t="shared" si="366"/>
        <v>15000</v>
      </c>
      <c r="AA360" s="1">
        <v>20000</v>
      </c>
      <c r="AB360" s="41">
        <f t="shared" si="369"/>
        <v>5000</v>
      </c>
      <c r="AC360" s="1">
        <f t="shared" si="367"/>
        <v>20000</v>
      </c>
      <c r="AD360" s="41">
        <v>25000</v>
      </c>
      <c r="AE360" s="1">
        <f t="shared" si="368"/>
        <v>5000</v>
      </c>
      <c r="AF360" s="1">
        <f t="shared" si="348"/>
        <v>25000</v>
      </c>
    </row>
    <row r="361" spans="1:32" outlineLevel="2">
      <c r="A361" s="42">
        <v>23113</v>
      </c>
      <c r="B361" s="11">
        <v>22699</v>
      </c>
      <c r="C361" s="11" t="s">
        <v>256</v>
      </c>
      <c r="D361" s="7">
        <v>3090</v>
      </c>
      <c r="E361" s="7">
        <v>7000</v>
      </c>
      <c r="F361" s="7">
        <f t="shared" si="357"/>
        <v>-3910</v>
      </c>
      <c r="G361" s="7">
        <v>3910</v>
      </c>
      <c r="H361" s="7">
        <f t="shared" si="358"/>
        <v>7000</v>
      </c>
      <c r="I361" s="7"/>
      <c r="J361" s="7">
        <f t="shared" si="359"/>
        <v>7000</v>
      </c>
      <c r="K361" s="7"/>
      <c r="L361" s="7">
        <v>7000</v>
      </c>
      <c r="M361" s="7">
        <v>0</v>
      </c>
      <c r="N361" s="7">
        <f t="shared" si="341"/>
        <v>7000</v>
      </c>
      <c r="O361" s="7"/>
      <c r="Q361" s="1">
        <f t="shared" si="361"/>
        <v>7000</v>
      </c>
      <c r="T361" s="1">
        <f t="shared" si="363"/>
        <v>7000</v>
      </c>
      <c r="U361" s="1">
        <f t="shared" si="363"/>
        <v>7000</v>
      </c>
      <c r="V361" s="1">
        <f t="shared" si="364"/>
        <v>0</v>
      </c>
      <c r="W361" s="1">
        <f t="shared" si="365"/>
        <v>7000</v>
      </c>
      <c r="X361" s="1">
        <v>3000</v>
      </c>
      <c r="Y361" s="41">
        <f t="shared" si="372"/>
        <v>-4000</v>
      </c>
      <c r="Z361" s="1">
        <f t="shared" si="366"/>
        <v>3000</v>
      </c>
      <c r="AA361" s="1">
        <v>5000</v>
      </c>
      <c r="AB361" s="41">
        <f t="shared" si="369"/>
        <v>2000</v>
      </c>
      <c r="AC361" s="1">
        <f t="shared" si="367"/>
        <v>5000</v>
      </c>
      <c r="AD361" s="41">
        <v>5000</v>
      </c>
      <c r="AE361" s="1">
        <f t="shared" si="368"/>
        <v>0</v>
      </c>
      <c r="AF361" s="1">
        <f t="shared" si="348"/>
        <v>5000</v>
      </c>
    </row>
    <row r="362" spans="1:32" outlineLevel="2">
      <c r="A362" s="42">
        <v>23113</v>
      </c>
      <c r="B362" s="11">
        <v>22706</v>
      </c>
      <c r="C362" s="42" t="s">
        <v>900</v>
      </c>
      <c r="D362" s="7">
        <v>29900</v>
      </c>
      <c r="E362" s="7">
        <v>30000</v>
      </c>
      <c r="F362" s="7">
        <f t="shared" si="357"/>
        <v>-100</v>
      </c>
      <c r="G362" s="7">
        <v>100</v>
      </c>
      <c r="H362" s="7">
        <f t="shared" si="358"/>
        <v>30000</v>
      </c>
      <c r="I362" s="7"/>
      <c r="J362" s="7">
        <f t="shared" si="359"/>
        <v>30000</v>
      </c>
      <c r="K362" s="7"/>
      <c r="L362" s="7">
        <v>30000</v>
      </c>
      <c r="M362" s="7">
        <v>0</v>
      </c>
      <c r="N362" s="7">
        <f t="shared" si="341"/>
        <v>30000</v>
      </c>
      <c r="O362" s="7"/>
      <c r="Q362" s="1">
        <f t="shared" si="361"/>
        <v>30000</v>
      </c>
      <c r="T362" s="1">
        <f t="shared" si="363"/>
        <v>30000</v>
      </c>
      <c r="U362" s="1">
        <f t="shared" si="363"/>
        <v>30000</v>
      </c>
      <c r="V362" s="1">
        <f t="shared" si="364"/>
        <v>0</v>
      </c>
      <c r="W362" s="1">
        <f t="shared" si="365"/>
        <v>30000</v>
      </c>
      <c r="X362" s="1">
        <v>25000</v>
      </c>
      <c r="Y362" s="41">
        <f t="shared" si="372"/>
        <v>-5000</v>
      </c>
      <c r="Z362" s="1">
        <f t="shared" si="366"/>
        <v>25000</v>
      </c>
      <c r="AA362" s="1">
        <f>30000</f>
        <v>30000</v>
      </c>
      <c r="AB362" s="41">
        <f t="shared" si="369"/>
        <v>5000</v>
      </c>
      <c r="AC362" s="1">
        <f t="shared" si="367"/>
        <v>30000</v>
      </c>
      <c r="AD362" s="41">
        <v>30000</v>
      </c>
      <c r="AE362" s="1">
        <f t="shared" si="368"/>
        <v>0</v>
      </c>
      <c r="AF362" s="1">
        <f t="shared" si="348"/>
        <v>30000</v>
      </c>
    </row>
    <row r="363" spans="1:32" outlineLevel="2">
      <c r="A363" s="42">
        <v>23113</v>
      </c>
      <c r="B363" s="11">
        <v>23020</v>
      </c>
      <c r="C363" s="11" t="s">
        <v>355</v>
      </c>
      <c r="D363" s="7">
        <v>590.65</v>
      </c>
      <c r="E363" s="7">
        <v>500</v>
      </c>
      <c r="F363" s="7">
        <f t="shared" si="357"/>
        <v>90.649999999999977</v>
      </c>
      <c r="G363" s="7">
        <v>-90.65</v>
      </c>
      <c r="H363" s="7">
        <f t="shared" si="358"/>
        <v>500</v>
      </c>
      <c r="I363" s="7"/>
      <c r="J363" s="7">
        <f t="shared" si="359"/>
        <v>500</v>
      </c>
      <c r="K363" s="7"/>
      <c r="L363" s="7">
        <v>500</v>
      </c>
      <c r="M363" s="7">
        <v>0</v>
      </c>
      <c r="N363" s="7">
        <f t="shared" si="341"/>
        <v>500</v>
      </c>
      <c r="O363" s="7"/>
      <c r="Q363" s="1">
        <f t="shared" si="361"/>
        <v>500</v>
      </c>
      <c r="T363" s="1">
        <f t="shared" si="363"/>
        <v>500</v>
      </c>
      <c r="U363" s="1">
        <f t="shared" si="363"/>
        <v>500</v>
      </c>
      <c r="V363" s="1">
        <f t="shared" si="364"/>
        <v>0</v>
      </c>
      <c r="W363" s="1">
        <f t="shared" si="365"/>
        <v>500</v>
      </c>
      <c r="X363" s="1">
        <v>100</v>
      </c>
      <c r="Y363" s="41">
        <f t="shared" si="372"/>
        <v>-400</v>
      </c>
      <c r="Z363" s="1">
        <f t="shared" si="366"/>
        <v>100</v>
      </c>
      <c r="AA363" s="1">
        <v>1500</v>
      </c>
      <c r="AB363" s="41">
        <f t="shared" si="369"/>
        <v>1400</v>
      </c>
      <c r="AC363" s="1">
        <f t="shared" si="367"/>
        <v>1500</v>
      </c>
      <c r="AD363" s="41">
        <v>2000</v>
      </c>
      <c r="AE363" s="1">
        <f t="shared" si="368"/>
        <v>500</v>
      </c>
      <c r="AF363" s="1">
        <f t="shared" si="348"/>
        <v>2000</v>
      </c>
    </row>
    <row r="364" spans="1:32" outlineLevel="2">
      <c r="A364" s="42">
        <v>23113</v>
      </c>
      <c r="B364" s="11">
        <v>23120</v>
      </c>
      <c r="C364" s="11" t="s">
        <v>356</v>
      </c>
      <c r="D364" s="7">
        <v>590.65</v>
      </c>
      <c r="E364" s="7">
        <v>500</v>
      </c>
      <c r="F364" s="7">
        <f t="shared" si="357"/>
        <v>90.649999999999977</v>
      </c>
      <c r="G364" s="7">
        <v>-90.65</v>
      </c>
      <c r="H364" s="7">
        <f t="shared" si="358"/>
        <v>500</v>
      </c>
      <c r="I364" s="7"/>
      <c r="J364" s="7">
        <f t="shared" si="359"/>
        <v>500</v>
      </c>
      <c r="K364" s="7"/>
      <c r="L364" s="7">
        <v>500</v>
      </c>
      <c r="M364" s="7">
        <v>0</v>
      </c>
      <c r="N364" s="7">
        <f t="shared" si="341"/>
        <v>500</v>
      </c>
      <c r="O364" s="7"/>
      <c r="Q364" s="1">
        <f t="shared" si="361"/>
        <v>500</v>
      </c>
      <c r="T364" s="1">
        <f t="shared" si="363"/>
        <v>500</v>
      </c>
      <c r="U364" s="1">
        <f t="shared" si="363"/>
        <v>500</v>
      </c>
      <c r="V364" s="1">
        <f t="shared" si="364"/>
        <v>0</v>
      </c>
      <c r="W364" s="1">
        <f t="shared" si="365"/>
        <v>500</v>
      </c>
      <c r="X364" s="1">
        <v>100</v>
      </c>
      <c r="Y364" s="41">
        <f t="shared" si="372"/>
        <v>-400</v>
      </c>
      <c r="Z364" s="1">
        <f t="shared" si="366"/>
        <v>100</v>
      </c>
      <c r="AA364" s="1">
        <v>1500</v>
      </c>
      <c r="AB364" s="41">
        <f t="shared" si="369"/>
        <v>1400</v>
      </c>
      <c r="AC364" s="1">
        <f t="shared" si="367"/>
        <v>1500</v>
      </c>
      <c r="AD364" s="41">
        <v>2000</v>
      </c>
      <c r="AE364" s="1">
        <f t="shared" si="368"/>
        <v>500</v>
      </c>
      <c r="AF364" s="1">
        <f t="shared" si="348"/>
        <v>2000</v>
      </c>
    </row>
    <row r="365" spans="1:32" s="11" customFormat="1" outlineLevel="2">
      <c r="A365" s="42">
        <v>23113</v>
      </c>
      <c r="B365" s="11">
        <v>62300</v>
      </c>
      <c r="C365" s="11" t="s">
        <v>603</v>
      </c>
      <c r="D365" s="7"/>
      <c r="E365" s="7"/>
      <c r="F365" s="7"/>
      <c r="G365" s="7"/>
      <c r="H365" s="7">
        <v>0</v>
      </c>
      <c r="I365" s="7">
        <v>150000</v>
      </c>
      <c r="J365" s="7">
        <f t="shared" si="359"/>
        <v>-150000</v>
      </c>
      <c r="K365" s="7">
        <v>150000</v>
      </c>
      <c r="L365" s="7">
        <v>150000</v>
      </c>
      <c r="M365" s="7">
        <v>-150000</v>
      </c>
      <c r="N365" s="7">
        <f t="shared" si="341"/>
        <v>0</v>
      </c>
      <c r="O365" s="7"/>
      <c r="P365" s="7"/>
      <c r="Q365" s="1">
        <f t="shared" si="361"/>
        <v>0</v>
      </c>
      <c r="R365" s="7"/>
      <c r="S365" s="7"/>
      <c r="T365" s="1">
        <f t="shared" si="363"/>
        <v>0</v>
      </c>
      <c r="U365" s="7">
        <v>0</v>
      </c>
      <c r="V365" s="1">
        <f t="shared" si="364"/>
        <v>0</v>
      </c>
      <c r="W365" s="1">
        <f t="shared" si="365"/>
        <v>0</v>
      </c>
      <c r="X365" s="7">
        <v>30000</v>
      </c>
      <c r="Y365" s="41">
        <f t="shared" si="372"/>
        <v>30000</v>
      </c>
      <c r="Z365" s="1">
        <f t="shared" si="366"/>
        <v>30000</v>
      </c>
      <c r="AA365" s="7">
        <v>0</v>
      </c>
      <c r="AB365" s="41">
        <f t="shared" si="369"/>
        <v>-30000</v>
      </c>
      <c r="AC365" s="1">
        <f t="shared" si="367"/>
        <v>0</v>
      </c>
      <c r="AD365" s="47">
        <v>80000</v>
      </c>
      <c r="AE365" s="1">
        <f t="shared" si="368"/>
        <v>80000</v>
      </c>
      <c r="AF365" s="1">
        <f t="shared" si="348"/>
        <v>80000</v>
      </c>
    </row>
    <row r="366" spans="1:32" s="11" customFormat="1" outlineLevel="2">
      <c r="A366" s="42">
        <v>23113</v>
      </c>
      <c r="B366" s="11">
        <v>63200</v>
      </c>
      <c r="C366" s="11" t="s">
        <v>864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1"/>
      <c r="R366" s="7"/>
      <c r="S366" s="7"/>
      <c r="T366" s="1"/>
      <c r="U366" s="7"/>
      <c r="V366" s="1"/>
      <c r="W366" s="1"/>
      <c r="X366" s="7"/>
      <c r="Y366" s="41"/>
      <c r="Z366" s="1">
        <v>0</v>
      </c>
      <c r="AA366" s="7">
        <v>92000</v>
      </c>
      <c r="AB366" s="41">
        <f t="shared" ref="AB366" si="373">AA366-Z366</f>
        <v>92000</v>
      </c>
      <c r="AC366" s="1">
        <f t="shared" ref="AC366" si="374">Z366+AB366</f>
        <v>92000</v>
      </c>
      <c r="AD366" s="47">
        <v>104500</v>
      </c>
      <c r="AE366" s="1">
        <f t="shared" si="368"/>
        <v>12500</v>
      </c>
      <c r="AF366" s="1">
        <f t="shared" si="348"/>
        <v>104500</v>
      </c>
    </row>
    <row r="367" spans="1:32" outlineLevel="2">
      <c r="A367" s="9" t="s">
        <v>786</v>
      </c>
      <c r="B367" s="9"/>
      <c r="C367" s="9" t="s">
        <v>38</v>
      </c>
      <c r="D367" s="8">
        <f>SUBTOTAL(9,D333:D364)</f>
        <v>1465891.9399999997</v>
      </c>
      <c r="E367" s="8">
        <f>SUBTOTAL(9,E333:E364)</f>
        <v>1910972.06</v>
      </c>
      <c r="F367" s="8">
        <f>SUBTOTAL(9,F333:F364)</f>
        <v>-445080.11999999994</v>
      </c>
      <c r="G367" s="8">
        <f>SUBTOTAL(9,G333:G364)</f>
        <v>454080.11999999994</v>
      </c>
      <c r="H367" s="8">
        <f t="shared" ref="H367:O367" si="375">SUBTOTAL(9,H333:H365)</f>
        <v>1919972.06</v>
      </c>
      <c r="I367" s="8">
        <f t="shared" si="375"/>
        <v>1937652.5699999998</v>
      </c>
      <c r="J367" s="8">
        <f t="shared" si="375"/>
        <v>-17680.509999999864</v>
      </c>
      <c r="K367" s="8">
        <f t="shared" si="375"/>
        <v>332445.91000000003</v>
      </c>
      <c r="L367" s="8">
        <f t="shared" si="375"/>
        <v>2252417.9699999997</v>
      </c>
      <c r="M367" s="8">
        <f t="shared" si="375"/>
        <v>-208102.32</v>
      </c>
      <c r="N367" s="8">
        <f t="shared" si="375"/>
        <v>2044315.6500000001</v>
      </c>
      <c r="O367" s="8">
        <f t="shared" si="375"/>
        <v>1724045.9100000001</v>
      </c>
      <c r="P367" s="8">
        <f>SUBTOTAL(9,P333:P365)</f>
        <v>-9504.3399999999747</v>
      </c>
      <c r="Q367" s="8">
        <f>SUBTOTAL(9,Q333:Q365)</f>
        <v>2034811.3100000003</v>
      </c>
      <c r="S367" s="8">
        <f>SUBTOTAL(9,S333:S365)</f>
        <v>-41998.920000000027</v>
      </c>
      <c r="T367" s="8">
        <f>SUBTOTAL(9,T333:T365)</f>
        <v>1992812.3900000004</v>
      </c>
      <c r="U367" s="8">
        <f t="shared" ref="U367:Y367" si="376">SUBTOTAL(9,U333:U365)</f>
        <v>1995903.8000000003</v>
      </c>
      <c r="V367" s="8">
        <f t="shared" si="376"/>
        <v>3091.4099999999962</v>
      </c>
      <c r="W367" s="8">
        <f>SUBTOTAL(9,W333:W365)</f>
        <v>1995903.8000000003</v>
      </c>
      <c r="X367" s="8">
        <f>SUBTOTAL(9,X333:X365)</f>
        <v>2106481.4299999997</v>
      </c>
      <c r="Y367" s="8">
        <f t="shared" si="376"/>
        <v>110577.63000000002</v>
      </c>
      <c r="Z367" s="8">
        <f>SUBTOTAL(9,Z333:Z366)</f>
        <v>2106481.4299999997</v>
      </c>
      <c r="AA367" s="8">
        <f t="shared" ref="AA367:AF367" si="377">SUBTOTAL(9,AA333:AA366)</f>
        <v>2213965.09</v>
      </c>
      <c r="AB367" s="8">
        <f t="shared" si="377"/>
        <v>107483.66000000005</v>
      </c>
      <c r="AC367" s="8">
        <f t="shared" si="377"/>
        <v>2213965.09</v>
      </c>
      <c r="AD367" s="8">
        <f t="shared" si="377"/>
        <v>2831377.51</v>
      </c>
      <c r="AE367" s="8">
        <f t="shared" si="377"/>
        <v>617412.42000000004</v>
      </c>
      <c r="AF367" s="8">
        <f t="shared" si="377"/>
        <v>2831377.51</v>
      </c>
    </row>
    <row r="368" spans="1:32" outlineLevel="2">
      <c r="A368" s="11">
        <v>24100</v>
      </c>
      <c r="B368" s="11">
        <v>22706</v>
      </c>
      <c r="C368" s="42" t="s">
        <v>898</v>
      </c>
      <c r="D368" s="7"/>
      <c r="E368" s="7"/>
      <c r="F368" s="7"/>
      <c r="G368" s="7"/>
      <c r="H368" s="7"/>
      <c r="I368" s="1"/>
      <c r="J368" s="1"/>
      <c r="K368" s="1"/>
      <c r="L368" s="1"/>
      <c r="M368" s="8"/>
      <c r="N368" s="1"/>
      <c r="O368" s="1"/>
      <c r="T368" s="1">
        <v>0</v>
      </c>
      <c r="U368" s="1">
        <v>10000</v>
      </c>
      <c r="V368" s="1">
        <f t="shared" ref="V368" si="378">U368-T368</f>
        <v>10000</v>
      </c>
      <c r="W368" s="1">
        <f t="shared" ref="W368" si="379">T368+V368</f>
        <v>10000</v>
      </c>
      <c r="X368" s="1">
        <v>10000</v>
      </c>
      <c r="Y368" s="41">
        <f t="shared" si="372"/>
        <v>0</v>
      </c>
      <c r="Z368" s="1">
        <f>W368+Y368</f>
        <v>10000</v>
      </c>
      <c r="AA368" s="1">
        <f>10000+3242.8+12000+700</f>
        <v>25942.799999999999</v>
      </c>
      <c r="AB368" s="1">
        <f>AA368-Z368</f>
        <v>15942.8</v>
      </c>
      <c r="AC368" s="1">
        <f t="shared" ref="AC368:AC370" si="380">Z368+AB368</f>
        <v>25942.799999999999</v>
      </c>
      <c r="AD368" s="76">
        <f>20000+20000</f>
        <v>40000</v>
      </c>
      <c r="AE368" s="1">
        <f t="shared" ref="AE368:AE370" si="381">AD368-AC368</f>
        <v>14057.2</v>
      </c>
      <c r="AF368" s="1">
        <f t="shared" si="348"/>
        <v>40000</v>
      </c>
    </row>
    <row r="369" spans="1:32" outlineLevel="2">
      <c r="A369" s="11">
        <v>24100</v>
      </c>
      <c r="B369" s="11">
        <v>46700</v>
      </c>
      <c r="C369" s="11" t="s">
        <v>338</v>
      </c>
      <c r="D369" s="7">
        <v>403190</v>
      </c>
      <c r="E369" s="7">
        <f>325895+77787</f>
        <v>403682</v>
      </c>
      <c r="F369" s="7">
        <f t="shared" ref="F369:F401" si="382">D369-E369</f>
        <v>-492</v>
      </c>
      <c r="G369" s="7">
        <v>492</v>
      </c>
      <c r="H369" s="7">
        <f t="shared" ref="H369:H406" si="383">D369+G369</f>
        <v>403682</v>
      </c>
      <c r="I369" s="1">
        <f>80302+317291</f>
        <v>397593</v>
      </c>
      <c r="J369" s="1">
        <f t="shared" ref="J369:J426" si="384">H369-I369</f>
        <v>6089</v>
      </c>
      <c r="K369" s="1">
        <v>-6089</v>
      </c>
      <c r="L369" s="1">
        <f>H369+K369</f>
        <v>397593</v>
      </c>
      <c r="M369" s="7">
        <f>304495+66446-L369</f>
        <v>-26652</v>
      </c>
      <c r="N369" s="1">
        <f>L369+M369</f>
        <v>370941</v>
      </c>
      <c r="O369" s="1"/>
      <c r="P369" s="1">
        <f>192550+53140-N369</f>
        <v>-125251</v>
      </c>
      <c r="Q369" s="1">
        <f>N369+P369</f>
        <v>245690</v>
      </c>
      <c r="R369" s="1">
        <f>245690+81000</f>
        <v>326690</v>
      </c>
      <c r="S369" s="1">
        <v>34296.730000000003</v>
      </c>
      <c r="T369" s="1">
        <f t="shared" ref="T369:U374" si="385">Q369+S369</f>
        <v>279986.73</v>
      </c>
      <c r="U369" s="1">
        <f>267139.34+80000</f>
        <v>347139.34</v>
      </c>
      <c r="V369" s="1">
        <f t="shared" ref="V369:V370" si="386">U369-T369</f>
        <v>67152.610000000044</v>
      </c>
      <c r="W369" s="1">
        <f t="shared" ref="W369:W370" si="387">T369+V369</f>
        <v>347139.34</v>
      </c>
      <c r="X369" s="1">
        <f>267071+50000</f>
        <v>317071</v>
      </c>
      <c r="Y369" s="41">
        <f t="shared" si="372"/>
        <v>-30068.340000000026</v>
      </c>
      <c r="Z369" s="1">
        <f>W369+Y369</f>
        <v>317071</v>
      </c>
      <c r="AA369" s="1">
        <f>268838+50000</f>
        <v>318838</v>
      </c>
      <c r="AB369" s="1">
        <f t="shared" ref="AB369:AB374" si="388">AA369-Z369</f>
        <v>1767</v>
      </c>
      <c r="AC369" s="1">
        <f t="shared" si="380"/>
        <v>318838</v>
      </c>
      <c r="AD369" s="41">
        <f>313022.48-11760-7692.13</f>
        <v>293570.34999999998</v>
      </c>
      <c r="AE369" s="1">
        <f t="shared" si="381"/>
        <v>-25267.650000000023</v>
      </c>
      <c r="AF369" s="1">
        <f t="shared" si="348"/>
        <v>293570.34999999998</v>
      </c>
    </row>
    <row r="370" spans="1:32" s="2" customFormat="1" outlineLevel="1">
      <c r="A370" s="11">
        <v>24100</v>
      </c>
      <c r="B370" s="11">
        <v>76700</v>
      </c>
      <c r="C370" s="11" t="s">
        <v>339</v>
      </c>
      <c r="D370" s="7">
        <v>10000</v>
      </c>
      <c r="E370" s="7">
        <v>9000</v>
      </c>
      <c r="F370" s="7">
        <f t="shared" si="382"/>
        <v>1000</v>
      </c>
      <c r="G370" s="7">
        <v>-1000</v>
      </c>
      <c r="H370" s="7">
        <f t="shared" si="383"/>
        <v>9000</v>
      </c>
      <c r="I370" s="1">
        <v>6000</v>
      </c>
      <c r="J370" s="1">
        <f t="shared" si="384"/>
        <v>3000</v>
      </c>
      <c r="K370" s="1">
        <v>-3000</v>
      </c>
      <c r="L370" s="1">
        <f>H370+K370</f>
        <v>6000</v>
      </c>
      <c r="M370" s="7">
        <v>0</v>
      </c>
      <c r="N370" s="1">
        <f>L370+M370</f>
        <v>6000</v>
      </c>
      <c r="O370" s="1"/>
      <c r="P370" s="16">
        <f>2500-N370</f>
        <v>-3500</v>
      </c>
      <c r="Q370" s="1">
        <f>N370+P370</f>
        <v>2500</v>
      </c>
      <c r="R370" s="3"/>
      <c r="S370" s="16"/>
      <c r="T370" s="1">
        <f t="shared" si="385"/>
        <v>2500</v>
      </c>
      <c r="U370" s="41">
        <v>200</v>
      </c>
      <c r="V370" s="1">
        <f t="shared" si="386"/>
        <v>-2300</v>
      </c>
      <c r="W370" s="1">
        <f t="shared" si="387"/>
        <v>200</v>
      </c>
      <c r="X370" s="41">
        <v>1000</v>
      </c>
      <c r="Y370" s="41">
        <f t="shared" si="372"/>
        <v>800</v>
      </c>
      <c r="Z370" s="1">
        <f>W370+Y370</f>
        <v>1000</v>
      </c>
      <c r="AA370" s="41">
        <v>1000</v>
      </c>
      <c r="AB370" s="1">
        <f t="shared" si="388"/>
        <v>0</v>
      </c>
      <c r="AC370" s="1">
        <f t="shared" si="380"/>
        <v>1000</v>
      </c>
      <c r="AD370" s="41">
        <v>1000</v>
      </c>
      <c r="AE370" s="1">
        <f t="shared" si="381"/>
        <v>0</v>
      </c>
      <c r="AF370" s="1">
        <f t="shared" si="348"/>
        <v>1000</v>
      </c>
    </row>
    <row r="371" spans="1:32" s="2" customFormat="1" outlineLevel="1">
      <c r="A371" s="9" t="s">
        <v>11</v>
      </c>
      <c r="B371" s="9"/>
      <c r="C371" s="9" t="s">
        <v>631</v>
      </c>
      <c r="D371" s="8">
        <f t="shared" ref="D371:Q371" si="389">SUBTOTAL(9,D368:D370)</f>
        <v>413190</v>
      </c>
      <c r="E371" s="8">
        <f t="shared" si="389"/>
        <v>412682</v>
      </c>
      <c r="F371" s="8">
        <f t="shared" si="389"/>
        <v>508</v>
      </c>
      <c r="G371" s="8">
        <f t="shared" si="389"/>
        <v>-508</v>
      </c>
      <c r="H371" s="8">
        <f t="shared" si="389"/>
        <v>412682</v>
      </c>
      <c r="I371" s="8">
        <f t="shared" si="389"/>
        <v>403593</v>
      </c>
      <c r="J371" s="8">
        <f t="shared" si="389"/>
        <v>9089</v>
      </c>
      <c r="K371" s="8">
        <f t="shared" si="389"/>
        <v>-9089</v>
      </c>
      <c r="L371" s="8">
        <f t="shared" si="389"/>
        <v>403593</v>
      </c>
      <c r="M371" s="8">
        <f t="shared" si="389"/>
        <v>-26652</v>
      </c>
      <c r="N371" s="8">
        <f t="shared" si="389"/>
        <v>376941</v>
      </c>
      <c r="O371" s="8">
        <f t="shared" si="389"/>
        <v>0</v>
      </c>
      <c r="P371" s="8">
        <f t="shared" si="389"/>
        <v>-128751</v>
      </c>
      <c r="Q371" s="8">
        <f t="shared" si="389"/>
        <v>248190</v>
      </c>
      <c r="R371" s="3"/>
      <c r="S371" s="8">
        <f t="shared" ref="S371:X371" si="390">SUBTOTAL(9,S368:S370)</f>
        <v>34296.730000000003</v>
      </c>
      <c r="T371" s="8">
        <f t="shared" si="390"/>
        <v>282486.73</v>
      </c>
      <c r="U371" s="8">
        <f t="shared" si="390"/>
        <v>357339.34</v>
      </c>
      <c r="V371" s="8">
        <f t="shared" si="390"/>
        <v>74852.610000000044</v>
      </c>
      <c r="W371" s="8">
        <f t="shared" si="390"/>
        <v>357339.34</v>
      </c>
      <c r="X371" s="8">
        <f t="shared" si="390"/>
        <v>328071</v>
      </c>
      <c r="Y371" s="8">
        <f t="shared" ref="Y371:AF371" si="391">SUBTOTAL(9,Y368:Y370)</f>
        <v>-29268.340000000026</v>
      </c>
      <c r="Z371" s="8">
        <f t="shared" si="391"/>
        <v>328071</v>
      </c>
      <c r="AA371" s="8">
        <f t="shared" si="391"/>
        <v>345780.8</v>
      </c>
      <c r="AB371" s="8">
        <f t="shared" si="391"/>
        <v>17709.8</v>
      </c>
      <c r="AC371" s="8">
        <f t="shared" si="391"/>
        <v>345780.8</v>
      </c>
      <c r="AD371" s="8">
        <f t="shared" si="391"/>
        <v>334570.34999999998</v>
      </c>
      <c r="AE371" s="8">
        <f t="shared" si="391"/>
        <v>-11210.450000000023</v>
      </c>
      <c r="AF371" s="8">
        <f t="shared" si="391"/>
        <v>334570.34999999998</v>
      </c>
    </row>
    <row r="372" spans="1:32" s="2" customFormat="1" outlineLevel="1">
      <c r="A372" s="11">
        <v>31100</v>
      </c>
      <c r="B372" s="11">
        <v>22606</v>
      </c>
      <c r="C372" s="11" t="s">
        <v>357</v>
      </c>
      <c r="D372" s="7">
        <v>1000</v>
      </c>
      <c r="E372" s="7"/>
      <c r="F372" s="7">
        <f t="shared" si="382"/>
        <v>1000</v>
      </c>
      <c r="G372" s="7"/>
      <c r="H372" s="7">
        <f t="shared" si="383"/>
        <v>1000</v>
      </c>
      <c r="I372" s="1"/>
      <c r="J372" s="1">
        <f t="shared" si="384"/>
        <v>1000</v>
      </c>
      <c r="K372" s="1"/>
      <c r="L372" s="1">
        <f t="shared" ref="L372:L432" si="392">H372+K372</f>
        <v>1000</v>
      </c>
      <c r="M372" s="7"/>
      <c r="N372" s="1">
        <f>L372+M372</f>
        <v>1000</v>
      </c>
      <c r="O372" s="1"/>
      <c r="P372" s="3"/>
      <c r="Q372" s="1">
        <f>N372+P372</f>
        <v>1000</v>
      </c>
      <c r="R372" s="3"/>
      <c r="S372" s="3"/>
      <c r="T372" s="1">
        <f t="shared" si="385"/>
        <v>1000</v>
      </c>
      <c r="U372" s="1">
        <f t="shared" si="385"/>
        <v>1000</v>
      </c>
      <c r="V372" s="1">
        <f t="shared" ref="V372:V374" si="393">U372-T372</f>
        <v>0</v>
      </c>
      <c r="W372" s="1">
        <f t="shared" ref="W372:W374" si="394">T372+V372</f>
        <v>1000</v>
      </c>
      <c r="X372" s="41">
        <v>1000</v>
      </c>
      <c r="Y372" s="41">
        <f t="shared" si="372"/>
        <v>0</v>
      </c>
      <c r="Z372" s="1">
        <f>W372+Y372</f>
        <v>1000</v>
      </c>
      <c r="AA372" s="41">
        <v>1000</v>
      </c>
      <c r="AB372" s="1">
        <f t="shared" si="388"/>
        <v>0</v>
      </c>
      <c r="AC372" s="1">
        <f t="shared" ref="AC372:AC374" si="395">Z372+AB372</f>
        <v>1000</v>
      </c>
      <c r="AD372" s="41">
        <v>1000</v>
      </c>
      <c r="AE372" s="1">
        <f t="shared" ref="AE372:AE374" si="396">AD372-AC372</f>
        <v>0</v>
      </c>
      <c r="AF372" s="1">
        <f t="shared" si="348"/>
        <v>1000</v>
      </c>
    </row>
    <row r="373" spans="1:32" s="2" customFormat="1" outlineLevel="1">
      <c r="A373" s="11">
        <v>31100</v>
      </c>
      <c r="B373" s="11">
        <v>22699</v>
      </c>
      <c r="C373" s="39" t="s">
        <v>256</v>
      </c>
      <c r="D373" s="7"/>
      <c r="E373" s="7"/>
      <c r="F373" s="7"/>
      <c r="G373" s="7"/>
      <c r="H373" s="7"/>
      <c r="I373" s="1"/>
      <c r="J373" s="1"/>
      <c r="K373" s="1"/>
      <c r="L373" s="1"/>
      <c r="M373" s="7"/>
      <c r="N373" s="1"/>
      <c r="O373" s="1"/>
      <c r="P373" s="3"/>
      <c r="Q373" s="1"/>
      <c r="R373" s="3"/>
      <c r="S373" s="3"/>
      <c r="T373" s="1"/>
      <c r="U373" s="1"/>
      <c r="V373" s="1"/>
      <c r="W373" s="1">
        <v>0</v>
      </c>
      <c r="X373" s="41">
        <v>10000</v>
      </c>
      <c r="Y373" s="41">
        <f t="shared" ref="Y373" si="397">X373-W373</f>
        <v>10000</v>
      </c>
      <c r="Z373" s="1">
        <f>W373+Y373</f>
        <v>10000</v>
      </c>
      <c r="AA373" s="41">
        <v>5000</v>
      </c>
      <c r="AB373" s="1">
        <f t="shared" si="388"/>
        <v>-5000</v>
      </c>
      <c r="AC373" s="1">
        <f t="shared" si="395"/>
        <v>5000</v>
      </c>
      <c r="AD373" s="41">
        <v>3000</v>
      </c>
      <c r="AE373" s="1">
        <f t="shared" si="396"/>
        <v>-2000</v>
      </c>
      <c r="AF373" s="1">
        <f t="shared" si="348"/>
        <v>3000</v>
      </c>
    </row>
    <row r="374" spans="1:32" s="2" customFormat="1" outlineLevel="1">
      <c r="A374" s="11">
        <v>31100</v>
      </c>
      <c r="B374" s="11">
        <v>22700</v>
      </c>
      <c r="C374" s="11" t="s">
        <v>358</v>
      </c>
      <c r="D374" s="7">
        <v>114467.72</v>
      </c>
      <c r="E374" s="7"/>
      <c r="F374" s="7">
        <f t="shared" si="382"/>
        <v>114467.72</v>
      </c>
      <c r="G374" s="7"/>
      <c r="H374" s="7">
        <f t="shared" si="383"/>
        <v>114467.72</v>
      </c>
      <c r="I374" s="1"/>
      <c r="J374" s="1">
        <f t="shared" si="384"/>
        <v>114467.72</v>
      </c>
      <c r="K374" s="1"/>
      <c r="L374" s="1">
        <f t="shared" si="392"/>
        <v>114467.72</v>
      </c>
      <c r="M374" s="7"/>
      <c r="N374" s="1">
        <f>L374+M374</f>
        <v>114467.72</v>
      </c>
      <c r="O374" s="1"/>
      <c r="P374" s="3"/>
      <c r="Q374" s="1">
        <f>N374+P374</f>
        <v>114467.72</v>
      </c>
      <c r="R374" s="41">
        <v>71500</v>
      </c>
      <c r="S374" s="1">
        <v>-20467.72</v>
      </c>
      <c r="T374" s="1">
        <f t="shared" si="385"/>
        <v>94000</v>
      </c>
      <c r="U374" s="1">
        <v>94000</v>
      </c>
      <c r="V374" s="1">
        <f t="shared" si="393"/>
        <v>0</v>
      </c>
      <c r="W374" s="1">
        <f t="shared" si="394"/>
        <v>94000</v>
      </c>
      <c r="X374" s="41">
        <f>40040+36300</f>
        <v>76340</v>
      </c>
      <c r="Y374" s="41">
        <f t="shared" si="372"/>
        <v>-17660</v>
      </c>
      <c r="Z374" s="1">
        <f>W374+Y374</f>
        <v>76340</v>
      </c>
      <c r="AA374" s="41">
        <f>76340+30000</f>
        <v>106340</v>
      </c>
      <c r="AB374" s="1">
        <f t="shared" si="388"/>
        <v>30000</v>
      </c>
      <c r="AC374" s="1">
        <f t="shared" si="395"/>
        <v>106340</v>
      </c>
      <c r="AD374" s="41">
        <v>100000</v>
      </c>
      <c r="AE374" s="1">
        <f t="shared" si="396"/>
        <v>-6340</v>
      </c>
      <c r="AF374" s="1">
        <f t="shared" si="348"/>
        <v>100000</v>
      </c>
    </row>
    <row r="375" spans="1:32" s="2" customFormat="1" outlineLevel="1">
      <c r="A375" s="9" t="s">
        <v>596</v>
      </c>
      <c r="B375" s="9"/>
      <c r="C375" s="9" t="s">
        <v>39</v>
      </c>
      <c r="D375" s="8">
        <f t="shared" ref="D375:Q375" si="398">SUBTOTAL(9,D372:D374)</f>
        <v>115467.72</v>
      </c>
      <c r="E375" s="8">
        <f t="shared" si="398"/>
        <v>0</v>
      </c>
      <c r="F375" s="8">
        <f t="shared" si="398"/>
        <v>115467.72</v>
      </c>
      <c r="G375" s="8">
        <f t="shared" si="398"/>
        <v>0</v>
      </c>
      <c r="H375" s="8">
        <f t="shared" si="398"/>
        <v>115467.72</v>
      </c>
      <c r="I375" s="8">
        <f t="shared" si="398"/>
        <v>0</v>
      </c>
      <c r="J375" s="8">
        <f t="shared" si="398"/>
        <v>115467.72</v>
      </c>
      <c r="K375" s="8">
        <f t="shared" si="398"/>
        <v>0</v>
      </c>
      <c r="L375" s="8">
        <f t="shared" si="398"/>
        <v>115467.72</v>
      </c>
      <c r="M375" s="8">
        <f t="shared" si="398"/>
        <v>0</v>
      </c>
      <c r="N375" s="8">
        <f t="shared" si="398"/>
        <v>115467.72</v>
      </c>
      <c r="O375" s="8">
        <f t="shared" si="398"/>
        <v>0</v>
      </c>
      <c r="P375" s="8">
        <f t="shared" si="398"/>
        <v>0</v>
      </c>
      <c r="Q375" s="8">
        <f t="shared" si="398"/>
        <v>115467.72</v>
      </c>
      <c r="R375" s="3"/>
      <c r="S375" s="8">
        <f t="shared" ref="S375:AF375" si="399">SUBTOTAL(9,S372:S374)</f>
        <v>-20467.72</v>
      </c>
      <c r="T375" s="8">
        <f t="shared" si="399"/>
        <v>95000</v>
      </c>
      <c r="U375" s="8">
        <f t="shared" si="399"/>
        <v>95000</v>
      </c>
      <c r="V375" s="8">
        <f t="shared" si="399"/>
        <v>0</v>
      </c>
      <c r="W375" s="8">
        <f t="shared" si="399"/>
        <v>95000</v>
      </c>
      <c r="X375" s="47">
        <f t="shared" si="399"/>
        <v>87340</v>
      </c>
      <c r="Y375" s="8">
        <f t="shared" si="399"/>
        <v>-7660</v>
      </c>
      <c r="Z375" s="8">
        <f t="shared" si="399"/>
        <v>87340</v>
      </c>
      <c r="AA375" s="8">
        <f t="shared" si="399"/>
        <v>112340</v>
      </c>
      <c r="AB375" s="8">
        <f t="shared" si="399"/>
        <v>25000</v>
      </c>
      <c r="AC375" s="8">
        <f t="shared" si="399"/>
        <v>112340</v>
      </c>
      <c r="AD375" s="8">
        <f t="shared" si="399"/>
        <v>104000</v>
      </c>
      <c r="AE375" s="8">
        <f t="shared" si="399"/>
        <v>-8340</v>
      </c>
      <c r="AF375" s="8">
        <f t="shared" si="399"/>
        <v>104000</v>
      </c>
    </row>
    <row r="376" spans="1:32" s="2" customFormat="1" outlineLevel="1">
      <c r="A376" s="42">
        <v>32000</v>
      </c>
      <c r="B376" s="42">
        <v>12003</v>
      </c>
      <c r="C376" s="42" t="s">
        <v>944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3"/>
      <c r="S376" s="8"/>
      <c r="T376" s="8"/>
      <c r="U376" s="8"/>
      <c r="V376" s="8"/>
      <c r="W376" s="8"/>
      <c r="X376" s="47"/>
      <c r="Y376" s="8"/>
      <c r="Z376" s="8"/>
      <c r="AA376" s="8"/>
      <c r="AB376" s="8"/>
      <c r="AC376" s="47">
        <v>0</v>
      </c>
      <c r="AD376" s="47">
        <v>1560</v>
      </c>
      <c r="AE376" s="1">
        <f t="shared" ref="AE376" si="400">AD376-AC376</f>
        <v>1560</v>
      </c>
      <c r="AF376" s="1">
        <f t="shared" ref="AF376" si="401">AC376+AE376</f>
        <v>1560</v>
      </c>
    </row>
    <row r="377" spans="1:32" s="2" customFormat="1" outlineLevel="1">
      <c r="A377" s="11">
        <v>32000</v>
      </c>
      <c r="B377" s="11">
        <v>12004</v>
      </c>
      <c r="C377" s="11" t="s">
        <v>139</v>
      </c>
      <c r="D377" s="7">
        <v>0</v>
      </c>
      <c r="E377" s="7">
        <v>20031.240000000002</v>
      </c>
      <c r="F377" s="7">
        <f t="shared" si="382"/>
        <v>-20031.240000000002</v>
      </c>
      <c r="G377" s="7">
        <v>20031.240000000002</v>
      </c>
      <c r="H377" s="7">
        <f t="shared" si="383"/>
        <v>20031.240000000002</v>
      </c>
      <c r="I377" s="1">
        <v>41194.69</v>
      </c>
      <c r="J377" s="1">
        <f t="shared" si="384"/>
        <v>-21163.45</v>
      </c>
      <c r="K377" s="1">
        <v>21163.45</v>
      </c>
      <c r="L377" s="1">
        <f t="shared" si="392"/>
        <v>41194.69</v>
      </c>
      <c r="M377" s="7">
        <f>33514.32-L377</f>
        <v>-7680.3700000000026</v>
      </c>
      <c r="N377" s="1">
        <f t="shared" ref="N377:N406" si="402">L377+M377</f>
        <v>33514.32</v>
      </c>
      <c r="O377" s="1">
        <v>25135.74</v>
      </c>
      <c r="P377" s="1">
        <f t="shared" ref="P377:P386" si="403">O377-N377</f>
        <v>-8378.5799999999981</v>
      </c>
      <c r="Q377" s="1">
        <f t="shared" ref="Q377:Q406" si="404">N377+P377</f>
        <v>25135.74</v>
      </c>
      <c r="R377" s="41">
        <v>33514.32</v>
      </c>
      <c r="S377" s="1">
        <f t="shared" ref="S377:S388" si="405">R377-Q377</f>
        <v>8378.5799999999981</v>
      </c>
      <c r="T377" s="1">
        <f t="shared" ref="T377:U406" si="406">Q377+S377</f>
        <v>33514.32</v>
      </c>
      <c r="U377" s="41">
        <v>41892.9</v>
      </c>
      <c r="V377" s="1">
        <f t="shared" ref="V377:V406" si="407">U377-T377</f>
        <v>8378.5800000000017</v>
      </c>
      <c r="W377" s="1">
        <f t="shared" ref="W377:W406" si="408">T377+V377</f>
        <v>41892.9</v>
      </c>
      <c r="X377" s="41">
        <v>45132.07</v>
      </c>
      <c r="Y377" s="41">
        <f t="shared" si="372"/>
        <v>3239.1699999999983</v>
      </c>
      <c r="Z377" s="1">
        <f t="shared" ref="Z377:Z406" si="409">W377+Y377</f>
        <v>45132.07</v>
      </c>
      <c r="AA377" s="41">
        <v>59829.47</v>
      </c>
      <c r="AB377" s="41">
        <f t="shared" ref="AB377:AB406" si="410">AA377-Z377</f>
        <v>14697.400000000001</v>
      </c>
      <c r="AC377" s="1">
        <f t="shared" ref="AC377:AC407" si="411">Z377+AB377</f>
        <v>59829.47</v>
      </c>
      <c r="AD377" s="41">
        <v>60727.73</v>
      </c>
      <c r="AE377" s="1">
        <f t="shared" ref="AE377:AE408" si="412">AD377-AC377</f>
        <v>898.26000000000204</v>
      </c>
      <c r="AF377" s="1">
        <f t="shared" si="348"/>
        <v>60727.73</v>
      </c>
    </row>
    <row r="378" spans="1:32" s="2" customFormat="1" outlineLevel="1">
      <c r="A378" s="11">
        <v>32000</v>
      </c>
      <c r="B378" s="11">
        <v>12005</v>
      </c>
      <c r="C378" s="11" t="s">
        <v>681</v>
      </c>
      <c r="D378" s="7">
        <v>0</v>
      </c>
      <c r="E378" s="7">
        <v>36489.78</v>
      </c>
      <c r="F378" s="7">
        <f t="shared" si="382"/>
        <v>-36489.78</v>
      </c>
      <c r="G378" s="7">
        <v>36489.78</v>
      </c>
      <c r="H378" s="7">
        <f t="shared" si="383"/>
        <v>36489.78</v>
      </c>
      <c r="I378" s="1">
        <v>77501.87</v>
      </c>
      <c r="J378" s="1">
        <f t="shared" si="384"/>
        <v>-41012.089999999997</v>
      </c>
      <c r="K378" s="1">
        <v>41012.089999999997</v>
      </c>
      <c r="L378" s="1">
        <f t="shared" si="392"/>
        <v>77501.87</v>
      </c>
      <c r="M378" s="7">
        <f>53750.06-L378</f>
        <v>-23751.809999999998</v>
      </c>
      <c r="N378" s="1">
        <f t="shared" si="402"/>
        <v>53750.06</v>
      </c>
      <c r="O378" s="1">
        <v>61428.639999999999</v>
      </c>
      <c r="P378" s="1">
        <f t="shared" si="403"/>
        <v>7678.5800000000017</v>
      </c>
      <c r="Q378" s="1">
        <f t="shared" si="404"/>
        <v>61428.639999999999</v>
      </c>
      <c r="R378" s="41">
        <v>76785.8</v>
      </c>
      <c r="S378" s="1">
        <f t="shared" si="405"/>
        <v>15357.160000000003</v>
      </c>
      <c r="T378" s="1">
        <f t="shared" si="406"/>
        <v>76785.8</v>
      </c>
      <c r="U378" s="41">
        <v>207321.36</v>
      </c>
      <c r="V378" s="1">
        <f t="shared" si="407"/>
        <v>130535.55999999998</v>
      </c>
      <c r="W378" s="1">
        <f t="shared" si="408"/>
        <v>207321.36</v>
      </c>
      <c r="X378" s="41">
        <v>238168.17</v>
      </c>
      <c r="Y378" s="41">
        <f t="shared" si="372"/>
        <v>30846.810000000027</v>
      </c>
      <c r="Z378" s="1">
        <f t="shared" si="409"/>
        <v>238168.17</v>
      </c>
      <c r="AA378" s="41">
        <v>266321.36</v>
      </c>
      <c r="AB378" s="41">
        <f t="shared" si="410"/>
        <v>28153.189999999973</v>
      </c>
      <c r="AC378" s="1">
        <f t="shared" si="411"/>
        <v>266321.36</v>
      </c>
      <c r="AD378" s="41">
        <v>278267.08</v>
      </c>
      <c r="AE378" s="1">
        <f t="shared" si="412"/>
        <v>11945.72000000003</v>
      </c>
      <c r="AF378" s="1">
        <f t="shared" si="348"/>
        <v>278267.08</v>
      </c>
    </row>
    <row r="379" spans="1:32" s="2" customFormat="1" outlineLevel="1">
      <c r="A379" s="11">
        <v>32000</v>
      </c>
      <c r="B379" s="11">
        <v>12006</v>
      </c>
      <c r="C379" s="11" t="s">
        <v>81</v>
      </c>
      <c r="D379" s="7">
        <v>0</v>
      </c>
      <c r="E379" s="7">
        <v>4486.66</v>
      </c>
      <c r="F379" s="7">
        <f t="shared" si="382"/>
        <v>-4486.66</v>
      </c>
      <c r="G379" s="7">
        <v>4486.66</v>
      </c>
      <c r="H379" s="7">
        <f t="shared" si="383"/>
        <v>4486.66</v>
      </c>
      <c r="I379" s="1">
        <v>6967.38</v>
      </c>
      <c r="J379" s="1">
        <f t="shared" si="384"/>
        <v>-2480.7200000000003</v>
      </c>
      <c r="K379" s="1">
        <v>2480.7199999999998</v>
      </c>
      <c r="L379" s="1">
        <f t="shared" si="392"/>
        <v>6967.3799999999992</v>
      </c>
      <c r="M379" s="7">
        <f>8753.74-L379</f>
        <v>1786.3600000000006</v>
      </c>
      <c r="N379" s="1">
        <f t="shared" si="402"/>
        <v>8753.74</v>
      </c>
      <c r="O379" s="1">
        <v>10612.42</v>
      </c>
      <c r="P379" s="1">
        <f t="shared" si="403"/>
        <v>1858.6800000000003</v>
      </c>
      <c r="Q379" s="1">
        <f t="shared" si="404"/>
        <v>10612.42</v>
      </c>
      <c r="R379" s="41">
        <v>12637.46</v>
      </c>
      <c r="S379" s="1">
        <f t="shared" si="405"/>
        <v>2025.0399999999991</v>
      </c>
      <c r="T379" s="1">
        <f t="shared" si="406"/>
        <v>12637.46</v>
      </c>
      <c r="U379" s="41">
        <v>23358.38</v>
      </c>
      <c r="V379" s="1">
        <f t="shared" si="407"/>
        <v>10720.920000000002</v>
      </c>
      <c r="W379" s="1">
        <f t="shared" si="408"/>
        <v>23358.38</v>
      </c>
      <c r="X379" s="41">
        <v>25181.47</v>
      </c>
      <c r="Y379" s="41">
        <f t="shared" si="372"/>
        <v>1823.0900000000001</v>
      </c>
      <c r="Z379" s="1">
        <f t="shared" si="409"/>
        <v>25181.47</v>
      </c>
      <c r="AA379" s="41">
        <v>34544.04</v>
      </c>
      <c r="AB379" s="41">
        <f t="shared" si="410"/>
        <v>9362.57</v>
      </c>
      <c r="AC379" s="1">
        <f t="shared" si="411"/>
        <v>34544.04</v>
      </c>
      <c r="AD379" s="41">
        <v>35092.83</v>
      </c>
      <c r="AE379" s="1">
        <f t="shared" si="412"/>
        <v>548.79000000000087</v>
      </c>
      <c r="AF379" s="1">
        <f t="shared" si="348"/>
        <v>35092.83</v>
      </c>
    </row>
    <row r="380" spans="1:32" s="2" customFormat="1" outlineLevel="1">
      <c r="A380" s="11">
        <v>32000</v>
      </c>
      <c r="B380" s="11">
        <v>12100</v>
      </c>
      <c r="C380" s="11" t="s">
        <v>140</v>
      </c>
      <c r="D380" s="7">
        <v>50227.05</v>
      </c>
      <c r="E380" s="7">
        <v>24623.77</v>
      </c>
      <c r="F380" s="7">
        <f>D380-E380</f>
        <v>25603.280000000002</v>
      </c>
      <c r="G380" s="7">
        <v>-25603.279999999999</v>
      </c>
      <c r="H380" s="7">
        <f>D380+G380</f>
        <v>24623.770000000004</v>
      </c>
      <c r="I380" s="1">
        <v>66264.179999999993</v>
      </c>
      <c r="J380" s="1">
        <f t="shared" si="384"/>
        <v>-41640.409999999989</v>
      </c>
      <c r="K380" s="1">
        <v>41640.410000000003</v>
      </c>
      <c r="L380" s="1">
        <f t="shared" si="392"/>
        <v>66264.180000000008</v>
      </c>
      <c r="M380" s="7">
        <f>68621.98-L380</f>
        <v>2357.7999999999884</v>
      </c>
      <c r="N380" s="1">
        <f t="shared" si="402"/>
        <v>68621.98</v>
      </c>
      <c r="O380" s="1">
        <v>67993.240000000005</v>
      </c>
      <c r="P380" s="1">
        <f t="shared" si="403"/>
        <v>-628.73999999999069</v>
      </c>
      <c r="Q380" s="1">
        <f t="shared" si="404"/>
        <v>67993.240000000005</v>
      </c>
      <c r="R380" s="41">
        <f>80488.24-16441.6</f>
        <v>64046.640000000007</v>
      </c>
      <c r="S380" s="1">
        <f t="shared" si="405"/>
        <v>-3946.5999999999985</v>
      </c>
      <c r="T380" s="1">
        <f t="shared" si="406"/>
        <v>64046.640000000007</v>
      </c>
      <c r="U380" s="41">
        <v>127516.06</v>
      </c>
      <c r="V380" s="1">
        <f t="shared" si="407"/>
        <v>63469.419999999991</v>
      </c>
      <c r="W380" s="1">
        <f t="shared" si="408"/>
        <v>127516.06</v>
      </c>
      <c r="X380" s="41">
        <v>140458.46</v>
      </c>
      <c r="Y380" s="41">
        <f t="shared" si="372"/>
        <v>12942.399999999994</v>
      </c>
      <c r="Z380" s="1">
        <f t="shared" si="409"/>
        <v>140458.46</v>
      </c>
      <c r="AA380" s="41">
        <v>167679.49</v>
      </c>
      <c r="AB380" s="41">
        <f t="shared" si="410"/>
        <v>27221.03</v>
      </c>
      <c r="AC380" s="1">
        <f t="shared" si="411"/>
        <v>167679.49</v>
      </c>
      <c r="AD380" s="41">
        <v>175595.89</v>
      </c>
      <c r="AE380" s="1">
        <f t="shared" si="412"/>
        <v>7916.4000000000233</v>
      </c>
      <c r="AF380" s="1">
        <f t="shared" si="348"/>
        <v>175595.89</v>
      </c>
    </row>
    <row r="381" spans="1:32" s="2" customFormat="1" outlineLevel="1">
      <c r="A381" s="11">
        <v>32000</v>
      </c>
      <c r="B381" s="11">
        <v>12101</v>
      </c>
      <c r="C381" s="11" t="s">
        <v>141</v>
      </c>
      <c r="D381" s="7">
        <v>0</v>
      </c>
      <c r="E381" s="7">
        <v>30507.46</v>
      </c>
      <c r="F381" s="7">
        <f>D381-E381</f>
        <v>-30507.46</v>
      </c>
      <c r="G381" s="7">
        <v>30507.46</v>
      </c>
      <c r="H381" s="7">
        <f>D381+G381</f>
        <v>30507.46</v>
      </c>
      <c r="I381" s="1">
        <v>87712.5</v>
      </c>
      <c r="J381" s="1">
        <f t="shared" si="384"/>
        <v>-57205.04</v>
      </c>
      <c r="K381" s="1">
        <v>57205.04</v>
      </c>
      <c r="L381" s="1">
        <f t="shared" si="392"/>
        <v>87712.5</v>
      </c>
      <c r="M381" s="7">
        <f>52568.46-L381</f>
        <v>-35144.04</v>
      </c>
      <c r="N381" s="1">
        <f t="shared" si="402"/>
        <v>52568.46</v>
      </c>
      <c r="O381" s="1">
        <v>52661.7</v>
      </c>
      <c r="P381" s="1">
        <f t="shared" si="403"/>
        <v>93.239999999997963</v>
      </c>
      <c r="Q381" s="1">
        <f t="shared" si="404"/>
        <v>52661.7</v>
      </c>
      <c r="R381" s="41">
        <f>69518.82+16441.6</f>
        <v>85960.420000000013</v>
      </c>
      <c r="S381" s="1">
        <f t="shared" si="405"/>
        <v>33298.720000000016</v>
      </c>
      <c r="T381" s="1">
        <f t="shared" si="406"/>
        <v>85960.420000000013</v>
      </c>
      <c r="U381" s="41">
        <v>174504.68</v>
      </c>
      <c r="V381" s="1">
        <f t="shared" si="407"/>
        <v>88544.25999999998</v>
      </c>
      <c r="W381" s="1">
        <f t="shared" si="408"/>
        <v>174504.68</v>
      </c>
      <c r="X381" s="41">
        <v>189444.87</v>
      </c>
      <c r="Y381" s="41">
        <f t="shared" si="372"/>
        <v>14940.190000000002</v>
      </c>
      <c r="Z381" s="1">
        <f t="shared" si="409"/>
        <v>189444.87</v>
      </c>
      <c r="AA381" s="41">
        <v>224082</v>
      </c>
      <c r="AB381" s="41">
        <f t="shared" si="410"/>
        <v>34637.130000000005</v>
      </c>
      <c r="AC381" s="1">
        <f t="shared" si="411"/>
        <v>224082</v>
      </c>
      <c r="AD381" s="41">
        <v>235745.43</v>
      </c>
      <c r="AE381" s="1">
        <f t="shared" si="412"/>
        <v>11663.429999999993</v>
      </c>
      <c r="AF381" s="1">
        <f t="shared" si="348"/>
        <v>235745.43</v>
      </c>
    </row>
    <row r="382" spans="1:32" s="2" customFormat="1" outlineLevel="1">
      <c r="A382" s="11">
        <v>32000</v>
      </c>
      <c r="B382" s="11">
        <v>13000</v>
      </c>
      <c r="C382" s="11" t="s">
        <v>359</v>
      </c>
      <c r="D382" s="7">
        <v>88376.24</v>
      </c>
      <c r="E382" s="7">
        <v>81580.27</v>
      </c>
      <c r="F382" s="7">
        <f t="shared" si="382"/>
        <v>6795.9700000000012</v>
      </c>
      <c r="G382" s="7">
        <v>-6795.97</v>
      </c>
      <c r="H382" s="7">
        <f t="shared" si="383"/>
        <v>81580.27</v>
      </c>
      <c r="I382" s="1">
        <v>76122.34</v>
      </c>
      <c r="J382" s="1">
        <f t="shared" si="384"/>
        <v>5457.9300000000076</v>
      </c>
      <c r="K382" s="1">
        <v>-5457.93</v>
      </c>
      <c r="L382" s="1">
        <f t="shared" si="392"/>
        <v>76122.34</v>
      </c>
      <c r="M382" s="7">
        <f>81000.92-L382</f>
        <v>4878.5800000000017</v>
      </c>
      <c r="N382" s="1">
        <f t="shared" si="402"/>
        <v>81000.92</v>
      </c>
      <c r="O382" s="1">
        <v>63114.61</v>
      </c>
      <c r="P382" s="1">
        <f t="shared" si="403"/>
        <v>-17886.309999999998</v>
      </c>
      <c r="Q382" s="1">
        <f t="shared" si="404"/>
        <v>63114.61</v>
      </c>
      <c r="R382" s="41">
        <v>45074.91</v>
      </c>
      <c r="S382" s="1">
        <f t="shared" si="405"/>
        <v>-18039.699999999997</v>
      </c>
      <c r="T382" s="1">
        <f t="shared" si="406"/>
        <v>45074.91</v>
      </c>
      <c r="U382" s="41">
        <v>55939.94</v>
      </c>
      <c r="V382" s="1">
        <f t="shared" si="407"/>
        <v>10865.029999999999</v>
      </c>
      <c r="W382" s="1">
        <f t="shared" si="408"/>
        <v>55939.94</v>
      </c>
      <c r="X382" s="41">
        <v>56661.49</v>
      </c>
      <c r="Y382" s="41">
        <f t="shared" si="372"/>
        <v>721.54999999999563</v>
      </c>
      <c r="Z382" s="1">
        <f t="shared" si="409"/>
        <v>56661.49</v>
      </c>
      <c r="AA382" s="41">
        <v>49209.39</v>
      </c>
      <c r="AB382" s="41">
        <f t="shared" si="410"/>
        <v>-7452.0999999999985</v>
      </c>
      <c r="AC382" s="1">
        <f t="shared" si="411"/>
        <v>49209.39</v>
      </c>
      <c r="AD382" s="41">
        <v>32054</v>
      </c>
      <c r="AE382" s="1">
        <f t="shared" si="412"/>
        <v>-17155.39</v>
      </c>
      <c r="AF382" s="1">
        <f t="shared" si="348"/>
        <v>32054</v>
      </c>
    </row>
    <row r="383" spans="1:32" s="2" customFormat="1" outlineLevel="1">
      <c r="A383" s="11">
        <v>32000</v>
      </c>
      <c r="B383" s="11">
        <v>13002</v>
      </c>
      <c r="C383" s="11" t="s">
        <v>120</v>
      </c>
      <c r="D383" s="7">
        <v>0</v>
      </c>
      <c r="E383" s="7">
        <v>67546.83</v>
      </c>
      <c r="F383" s="7">
        <f>D383-E383</f>
        <v>-67546.83</v>
      </c>
      <c r="G383" s="7">
        <v>67546.83</v>
      </c>
      <c r="H383" s="7">
        <f>D383+G383</f>
        <v>67546.83</v>
      </c>
      <c r="I383" s="1">
        <v>86139.520000000004</v>
      </c>
      <c r="J383" s="1">
        <f t="shared" si="384"/>
        <v>-18592.690000000002</v>
      </c>
      <c r="K383" s="1">
        <v>18592.689999999999</v>
      </c>
      <c r="L383" s="1">
        <f t="shared" si="392"/>
        <v>86139.520000000004</v>
      </c>
      <c r="M383" s="7">
        <f>93545.76-L383</f>
        <v>7406.2399999999907</v>
      </c>
      <c r="N383" s="1">
        <f t="shared" si="402"/>
        <v>93545.76</v>
      </c>
      <c r="O383" s="1">
        <v>74438.14</v>
      </c>
      <c r="P383" s="1">
        <f t="shared" si="403"/>
        <v>-19107.619999999995</v>
      </c>
      <c r="Q383" s="1">
        <f t="shared" si="404"/>
        <v>74438.14</v>
      </c>
      <c r="R383" s="41">
        <v>54182.8</v>
      </c>
      <c r="S383" s="1">
        <f t="shared" si="405"/>
        <v>-20255.339999999997</v>
      </c>
      <c r="T383" s="1">
        <f t="shared" si="406"/>
        <v>54182.8</v>
      </c>
      <c r="U383" s="41">
        <v>56408.800000000003</v>
      </c>
      <c r="V383" s="1">
        <f t="shared" si="407"/>
        <v>2226</v>
      </c>
      <c r="W383" s="1">
        <f t="shared" si="408"/>
        <v>56408.800000000003</v>
      </c>
      <c r="X383" s="41">
        <v>46757.440000000002</v>
      </c>
      <c r="Y383" s="41">
        <f t="shared" si="372"/>
        <v>-9651.36</v>
      </c>
      <c r="Z383" s="1">
        <f t="shared" si="409"/>
        <v>46757.440000000002</v>
      </c>
      <c r="AA383" s="41">
        <v>47744.56</v>
      </c>
      <c r="AB383" s="41">
        <f t="shared" si="410"/>
        <v>987.11999999999534</v>
      </c>
      <c r="AC383" s="1">
        <f t="shared" si="411"/>
        <v>47744.56</v>
      </c>
      <c r="AD383" s="41">
        <v>29757.89</v>
      </c>
      <c r="AE383" s="1">
        <f t="shared" si="412"/>
        <v>-17986.669999999998</v>
      </c>
      <c r="AF383" s="1">
        <f t="shared" si="348"/>
        <v>29757.89</v>
      </c>
    </row>
    <row r="384" spans="1:32" s="2" customFormat="1" outlineLevel="1">
      <c r="A384" s="11">
        <v>32000</v>
      </c>
      <c r="B384" s="11">
        <v>13100</v>
      </c>
      <c r="C384" s="11" t="s">
        <v>360</v>
      </c>
      <c r="D384" s="7">
        <v>26963.63</v>
      </c>
      <c r="E384" s="7">
        <v>27044.52</v>
      </c>
      <c r="F384" s="7">
        <f t="shared" si="382"/>
        <v>-80.889999999999418</v>
      </c>
      <c r="G384" s="7">
        <v>80.89</v>
      </c>
      <c r="H384" s="7">
        <f t="shared" si="383"/>
        <v>27044.52</v>
      </c>
      <c r="I384" s="1">
        <v>17888.64</v>
      </c>
      <c r="J384" s="1">
        <f t="shared" si="384"/>
        <v>9155.880000000001</v>
      </c>
      <c r="K384" s="1">
        <v>-9155.8799999999992</v>
      </c>
      <c r="L384" s="1">
        <f t="shared" si="392"/>
        <v>17888.64</v>
      </c>
      <c r="M384" s="7">
        <f>24112.9-L384</f>
        <v>6224.260000000002</v>
      </c>
      <c r="N384" s="1">
        <f t="shared" si="402"/>
        <v>24112.9</v>
      </c>
      <c r="O384" s="1">
        <v>24812.9</v>
      </c>
      <c r="P384" s="1">
        <f t="shared" si="403"/>
        <v>700</v>
      </c>
      <c r="Q384" s="1">
        <f t="shared" si="404"/>
        <v>24812.9</v>
      </c>
      <c r="R384" s="41">
        <v>8378.58</v>
      </c>
      <c r="S384" s="1">
        <f t="shared" si="405"/>
        <v>-16434.32</v>
      </c>
      <c r="T384" s="1">
        <f t="shared" si="406"/>
        <v>8378.5800000000017</v>
      </c>
      <c r="U384" s="41">
        <v>0</v>
      </c>
      <c r="V384" s="1">
        <f t="shared" si="407"/>
        <v>-8378.5800000000017</v>
      </c>
      <c r="W384" s="1">
        <f t="shared" si="408"/>
        <v>0</v>
      </c>
      <c r="X384" s="41">
        <v>16041.5</v>
      </c>
      <c r="Y384" s="41">
        <f t="shared" si="372"/>
        <v>16041.5</v>
      </c>
      <c r="Z384" s="1">
        <f t="shared" si="409"/>
        <v>16041.5</v>
      </c>
      <c r="AA384" s="41">
        <v>0</v>
      </c>
      <c r="AB384" s="41">
        <f t="shared" si="410"/>
        <v>-16041.5</v>
      </c>
      <c r="AC384" s="1">
        <f t="shared" si="411"/>
        <v>0</v>
      </c>
      <c r="AD384" s="41">
        <v>0</v>
      </c>
      <c r="AE384" s="1">
        <f t="shared" si="412"/>
        <v>0</v>
      </c>
      <c r="AF384" s="1">
        <f t="shared" si="348"/>
        <v>0</v>
      </c>
    </row>
    <row r="385" spans="1:32" s="2" customFormat="1" outlineLevel="1">
      <c r="A385" s="11">
        <v>32000</v>
      </c>
      <c r="B385" s="11">
        <v>13101</v>
      </c>
      <c r="C385" s="11" t="s">
        <v>361</v>
      </c>
      <c r="D385" s="7">
        <v>23987.34</v>
      </c>
      <c r="E385" s="7">
        <v>24059.3</v>
      </c>
      <c r="F385" s="7">
        <f t="shared" si="382"/>
        <v>-71.959999999999127</v>
      </c>
      <c r="G385" s="7">
        <v>71.959999999999994</v>
      </c>
      <c r="H385" s="7">
        <f t="shared" si="383"/>
        <v>24059.3</v>
      </c>
      <c r="I385" s="1">
        <v>19211.080000000002</v>
      </c>
      <c r="J385" s="1">
        <f t="shared" si="384"/>
        <v>4848.2199999999975</v>
      </c>
      <c r="K385" s="1">
        <v>-4848.22</v>
      </c>
      <c r="L385" s="1">
        <f t="shared" si="392"/>
        <v>19211.079999999998</v>
      </c>
      <c r="M385" s="7">
        <f>28334.6-L385</f>
        <v>9123.52</v>
      </c>
      <c r="N385" s="1">
        <f t="shared" si="402"/>
        <v>28334.6</v>
      </c>
      <c r="O385" s="1">
        <v>29867.040000000001</v>
      </c>
      <c r="P385" s="1">
        <f t="shared" si="403"/>
        <v>1532.4400000000023</v>
      </c>
      <c r="Q385" s="1">
        <f t="shared" si="404"/>
        <v>29867.040000000001</v>
      </c>
      <c r="R385" s="41">
        <v>10141.040000000001</v>
      </c>
      <c r="S385" s="1">
        <f t="shared" si="405"/>
        <v>-19726</v>
      </c>
      <c r="T385" s="1">
        <f t="shared" si="406"/>
        <v>10141.040000000001</v>
      </c>
      <c r="U385" s="41">
        <v>0</v>
      </c>
      <c r="V385" s="1">
        <f t="shared" si="407"/>
        <v>-10141.040000000001</v>
      </c>
      <c r="W385" s="1">
        <f t="shared" si="408"/>
        <v>0</v>
      </c>
      <c r="X385" s="41">
        <v>18717.18</v>
      </c>
      <c r="Y385" s="41">
        <f t="shared" si="372"/>
        <v>18717.18</v>
      </c>
      <c r="Z385" s="1">
        <f t="shared" si="409"/>
        <v>18717.18</v>
      </c>
      <c r="AA385" s="41">
        <v>0</v>
      </c>
      <c r="AB385" s="41">
        <f t="shared" si="410"/>
        <v>-18717.18</v>
      </c>
      <c r="AC385" s="1">
        <f t="shared" si="411"/>
        <v>0</v>
      </c>
      <c r="AD385" s="41">
        <v>0</v>
      </c>
      <c r="AE385" s="1">
        <f t="shared" si="412"/>
        <v>0</v>
      </c>
      <c r="AF385" s="1">
        <f t="shared" si="348"/>
        <v>0</v>
      </c>
    </row>
    <row r="386" spans="1:32" s="2" customFormat="1" outlineLevel="1">
      <c r="A386" s="11">
        <v>32000</v>
      </c>
      <c r="B386" s="19">
        <v>15100</v>
      </c>
      <c r="C386" s="19" t="s">
        <v>362</v>
      </c>
      <c r="D386" s="20">
        <v>15000</v>
      </c>
      <c r="E386" s="20">
        <v>2000</v>
      </c>
      <c r="F386" s="20">
        <f t="shared" si="382"/>
        <v>13000</v>
      </c>
      <c r="G386" s="20">
        <v>-13000</v>
      </c>
      <c r="H386" s="20">
        <f t="shared" si="383"/>
        <v>2000</v>
      </c>
      <c r="I386" s="21">
        <v>2000</v>
      </c>
      <c r="J386" s="21">
        <f t="shared" si="384"/>
        <v>0</v>
      </c>
      <c r="K386" s="21">
        <v>0</v>
      </c>
      <c r="L386" s="21">
        <f t="shared" si="392"/>
        <v>2000</v>
      </c>
      <c r="M386" s="7">
        <v>5000</v>
      </c>
      <c r="N386" s="1">
        <f t="shared" si="402"/>
        <v>7000</v>
      </c>
      <c r="O386" s="1">
        <v>1250</v>
      </c>
      <c r="P386" s="1">
        <f t="shared" si="403"/>
        <v>-5750</v>
      </c>
      <c r="Q386" s="1">
        <f t="shared" si="404"/>
        <v>1250</v>
      </c>
      <c r="R386" s="41">
        <v>1250</v>
      </c>
      <c r="S386" s="1">
        <f t="shared" si="405"/>
        <v>0</v>
      </c>
      <c r="T386" s="1">
        <f t="shared" si="406"/>
        <v>1250</v>
      </c>
      <c r="U386" s="41">
        <v>1250</v>
      </c>
      <c r="V386" s="1">
        <f t="shared" si="407"/>
        <v>0</v>
      </c>
      <c r="W386" s="1">
        <f t="shared" si="408"/>
        <v>1250</v>
      </c>
      <c r="X386" s="41">
        <v>2500</v>
      </c>
      <c r="Y386" s="41">
        <f t="shared" si="372"/>
        <v>1250</v>
      </c>
      <c r="Z386" s="1">
        <f t="shared" si="409"/>
        <v>2500</v>
      </c>
      <c r="AA386" s="41">
        <v>14600</v>
      </c>
      <c r="AB386" s="41">
        <f t="shared" si="410"/>
        <v>12100</v>
      </c>
      <c r="AC386" s="1">
        <f t="shared" si="411"/>
        <v>14600</v>
      </c>
      <c r="AD386" s="41">
        <v>14600</v>
      </c>
      <c r="AE386" s="1">
        <f t="shared" si="412"/>
        <v>0</v>
      </c>
      <c r="AF386" s="1">
        <f t="shared" ref="AF386:AF408" si="413">AC386+AE386</f>
        <v>14600</v>
      </c>
    </row>
    <row r="387" spans="1:32" s="2" customFormat="1" outlineLevel="1">
      <c r="A387" s="13">
        <v>32000</v>
      </c>
      <c r="B387" s="60">
        <v>16000</v>
      </c>
      <c r="C387" s="56" t="s">
        <v>750</v>
      </c>
      <c r="D387" s="62"/>
      <c r="E387" s="64"/>
      <c r="F387" s="62"/>
      <c r="G387" s="64"/>
      <c r="H387" s="62"/>
      <c r="I387" s="64"/>
      <c r="J387" s="62"/>
      <c r="K387" s="64"/>
      <c r="L387" s="62"/>
      <c r="M387" s="63"/>
      <c r="N387" s="53"/>
      <c r="O387" s="53"/>
      <c r="P387" s="53"/>
      <c r="Q387" s="53"/>
      <c r="R387" s="58"/>
      <c r="S387" s="53"/>
      <c r="T387" s="53">
        <f t="shared" si="406"/>
        <v>0</v>
      </c>
      <c r="U387" s="63"/>
      <c r="V387" s="53">
        <f t="shared" si="407"/>
        <v>0</v>
      </c>
      <c r="W387" s="53">
        <f t="shared" si="408"/>
        <v>0</v>
      </c>
      <c r="X387" s="41">
        <v>0</v>
      </c>
      <c r="Y387" s="41">
        <f t="shared" si="372"/>
        <v>0</v>
      </c>
      <c r="Z387" s="1">
        <f t="shared" si="409"/>
        <v>0</v>
      </c>
      <c r="AA387" s="41">
        <v>0</v>
      </c>
      <c r="AB387" s="41">
        <f t="shared" si="410"/>
        <v>0</v>
      </c>
      <c r="AC387" s="1">
        <f t="shared" si="411"/>
        <v>0</v>
      </c>
      <c r="AD387" s="41">
        <v>256357.25</v>
      </c>
      <c r="AE387" s="1">
        <f t="shared" si="412"/>
        <v>256357.25</v>
      </c>
      <c r="AF387" s="1">
        <f t="shared" si="413"/>
        <v>256357.25</v>
      </c>
    </row>
    <row r="388" spans="1:32" s="2" customFormat="1" outlineLevel="1">
      <c r="A388" s="11">
        <v>32000</v>
      </c>
      <c r="B388" s="11">
        <v>20200</v>
      </c>
      <c r="C388" s="11" t="s">
        <v>535</v>
      </c>
      <c r="D388" s="7">
        <v>48720</v>
      </c>
      <c r="E388" s="7">
        <f>48720*1.17/1.16</f>
        <v>49140</v>
      </c>
      <c r="F388" s="7">
        <f t="shared" si="382"/>
        <v>-420</v>
      </c>
      <c r="G388" s="7">
        <v>420</v>
      </c>
      <c r="H388" s="7">
        <f t="shared" si="383"/>
        <v>49140</v>
      </c>
      <c r="I388" s="1"/>
      <c r="J388" s="1">
        <f t="shared" si="384"/>
        <v>49140</v>
      </c>
      <c r="K388" s="1"/>
      <c r="L388" s="1">
        <f t="shared" si="392"/>
        <v>49140</v>
      </c>
      <c r="M388" s="7"/>
      <c r="N388" s="1">
        <f t="shared" si="402"/>
        <v>49140</v>
      </c>
      <c r="O388" s="1"/>
      <c r="P388" s="3"/>
      <c r="Q388" s="1">
        <f t="shared" si="404"/>
        <v>49140</v>
      </c>
      <c r="R388" s="41">
        <v>49622</v>
      </c>
      <c r="S388" s="41">
        <f t="shared" si="405"/>
        <v>482</v>
      </c>
      <c r="T388" s="1">
        <f t="shared" si="406"/>
        <v>49622</v>
      </c>
      <c r="U388" s="41">
        <v>65379.6</v>
      </c>
      <c r="V388" s="1">
        <f t="shared" si="407"/>
        <v>15757.599999999999</v>
      </c>
      <c r="W388" s="1">
        <f t="shared" si="408"/>
        <v>65379.6</v>
      </c>
      <c r="X388" s="41">
        <v>68648.639999999999</v>
      </c>
      <c r="Y388" s="41">
        <f t="shared" si="372"/>
        <v>3269.0400000000009</v>
      </c>
      <c r="Z388" s="1">
        <f t="shared" si="409"/>
        <v>68648.639999999999</v>
      </c>
      <c r="AA388" s="41">
        <v>68648.639999999999</v>
      </c>
      <c r="AB388" s="41">
        <f t="shared" si="410"/>
        <v>0</v>
      </c>
      <c r="AC388" s="1">
        <f t="shared" si="411"/>
        <v>68648.639999999999</v>
      </c>
      <c r="AD388" s="41">
        <v>68648.639999999999</v>
      </c>
      <c r="AE388" s="1">
        <f t="shared" si="412"/>
        <v>0</v>
      </c>
      <c r="AF388" s="1">
        <f t="shared" si="413"/>
        <v>68648.639999999999</v>
      </c>
    </row>
    <row r="389" spans="1:32" s="2" customFormat="1" outlineLevel="1">
      <c r="A389" s="11">
        <v>32000</v>
      </c>
      <c r="B389" s="11">
        <v>20300</v>
      </c>
      <c r="C389" s="11" t="s">
        <v>363</v>
      </c>
      <c r="D389" s="7">
        <v>4080</v>
      </c>
      <c r="E389" s="7"/>
      <c r="F389" s="7">
        <f t="shared" si="382"/>
        <v>4080</v>
      </c>
      <c r="G389" s="7"/>
      <c r="H389" s="7">
        <f t="shared" si="383"/>
        <v>4080</v>
      </c>
      <c r="I389" s="1"/>
      <c r="J389" s="1">
        <f t="shared" si="384"/>
        <v>4080</v>
      </c>
      <c r="K389" s="1"/>
      <c r="L389" s="1">
        <f t="shared" si="392"/>
        <v>4080</v>
      </c>
      <c r="M389" s="7"/>
      <c r="N389" s="1">
        <f t="shared" si="402"/>
        <v>4080</v>
      </c>
      <c r="O389" s="1"/>
      <c r="P389" s="3"/>
      <c r="Q389" s="1">
        <f t="shared" si="404"/>
        <v>4080</v>
      </c>
      <c r="R389" s="3"/>
      <c r="S389" s="3"/>
      <c r="T389" s="1">
        <f t="shared" si="406"/>
        <v>4080</v>
      </c>
      <c r="U389" s="1">
        <f t="shared" si="406"/>
        <v>4080</v>
      </c>
      <c r="V389" s="1">
        <f t="shared" si="407"/>
        <v>0</v>
      </c>
      <c r="W389" s="1">
        <f t="shared" si="408"/>
        <v>4080</v>
      </c>
      <c r="X389" s="41">
        <v>3000</v>
      </c>
      <c r="Y389" s="41">
        <f t="shared" si="372"/>
        <v>-1080</v>
      </c>
      <c r="Z389" s="1">
        <f t="shared" si="409"/>
        <v>3000</v>
      </c>
      <c r="AA389" s="41">
        <v>4000</v>
      </c>
      <c r="AB389" s="41">
        <f t="shared" si="410"/>
        <v>1000</v>
      </c>
      <c r="AC389" s="1">
        <f t="shared" si="411"/>
        <v>4000</v>
      </c>
      <c r="AD389" s="41">
        <v>3000</v>
      </c>
      <c r="AE389" s="1">
        <f t="shared" si="412"/>
        <v>-1000</v>
      </c>
      <c r="AF389" s="1">
        <f t="shared" si="413"/>
        <v>3000</v>
      </c>
    </row>
    <row r="390" spans="1:32" s="2" customFormat="1" outlineLevel="1">
      <c r="A390" s="11">
        <v>32000</v>
      </c>
      <c r="B390" s="11">
        <v>21200</v>
      </c>
      <c r="C390" s="11" t="s">
        <v>666</v>
      </c>
      <c r="D390" s="7">
        <v>100000</v>
      </c>
      <c r="E390" s="7"/>
      <c r="F390" s="7">
        <f t="shared" si="382"/>
        <v>100000</v>
      </c>
      <c r="G390" s="7">
        <v>-20000</v>
      </c>
      <c r="H390" s="7">
        <f t="shared" si="383"/>
        <v>80000</v>
      </c>
      <c r="I390" s="1"/>
      <c r="J390" s="1">
        <f t="shared" si="384"/>
        <v>80000</v>
      </c>
      <c r="K390" s="1"/>
      <c r="L390" s="1">
        <f t="shared" si="392"/>
        <v>80000</v>
      </c>
      <c r="M390" s="7"/>
      <c r="N390" s="1">
        <f t="shared" si="402"/>
        <v>80000</v>
      </c>
      <c r="O390" s="1"/>
      <c r="P390" s="16">
        <v>60000</v>
      </c>
      <c r="Q390" s="1">
        <f t="shared" si="404"/>
        <v>140000</v>
      </c>
      <c r="R390" s="3"/>
      <c r="S390" s="16">
        <v>-70000</v>
      </c>
      <c r="T390" s="1">
        <f t="shared" si="406"/>
        <v>70000</v>
      </c>
      <c r="U390" s="1">
        <f t="shared" si="406"/>
        <v>70000</v>
      </c>
      <c r="V390" s="1">
        <f t="shared" si="407"/>
        <v>0</v>
      </c>
      <c r="W390" s="1">
        <f t="shared" si="408"/>
        <v>70000</v>
      </c>
      <c r="X390" s="41">
        <v>70000</v>
      </c>
      <c r="Y390" s="41">
        <f t="shared" si="372"/>
        <v>0</v>
      </c>
      <c r="Z390" s="1">
        <f t="shared" si="409"/>
        <v>70000</v>
      </c>
      <c r="AA390" s="41">
        <v>70000</v>
      </c>
      <c r="AB390" s="41">
        <f t="shared" si="410"/>
        <v>0</v>
      </c>
      <c r="AC390" s="1">
        <f t="shared" si="411"/>
        <v>70000</v>
      </c>
      <c r="AD390" s="41">
        <v>70000</v>
      </c>
      <c r="AE390" s="1">
        <f t="shared" si="412"/>
        <v>0</v>
      </c>
      <c r="AF390" s="1">
        <f t="shared" si="413"/>
        <v>70000</v>
      </c>
    </row>
    <row r="391" spans="1:32" s="2" customFormat="1" outlineLevel="1">
      <c r="A391" s="11">
        <v>32000</v>
      </c>
      <c r="B391" s="11">
        <v>21300</v>
      </c>
      <c r="C391" s="11" t="s">
        <v>364</v>
      </c>
      <c r="D391" s="7">
        <v>20000</v>
      </c>
      <c r="E391" s="7"/>
      <c r="F391" s="7">
        <f t="shared" si="382"/>
        <v>20000</v>
      </c>
      <c r="G391" s="7">
        <v>-2000</v>
      </c>
      <c r="H391" s="7">
        <f t="shared" si="383"/>
        <v>18000</v>
      </c>
      <c r="I391" s="1"/>
      <c r="J391" s="1">
        <f t="shared" si="384"/>
        <v>18000</v>
      </c>
      <c r="K391" s="1"/>
      <c r="L391" s="1">
        <f t="shared" si="392"/>
        <v>18000</v>
      </c>
      <c r="M391" s="7">
        <v>-5000</v>
      </c>
      <c r="N391" s="1">
        <f t="shared" si="402"/>
        <v>13000</v>
      </c>
      <c r="O391" s="1"/>
      <c r="P391" s="3"/>
      <c r="Q391" s="1">
        <f t="shared" si="404"/>
        <v>13000</v>
      </c>
      <c r="R391" s="3"/>
      <c r="S391" s="3"/>
      <c r="T391" s="1">
        <f t="shared" si="406"/>
        <v>13000</v>
      </c>
      <c r="U391" s="1">
        <f t="shared" si="406"/>
        <v>13000</v>
      </c>
      <c r="V391" s="1">
        <f t="shared" si="407"/>
        <v>0</v>
      </c>
      <c r="W391" s="1">
        <f t="shared" si="408"/>
        <v>13000</v>
      </c>
      <c r="X391" s="41">
        <v>13000</v>
      </c>
      <c r="Y391" s="41">
        <f t="shared" si="372"/>
        <v>0</v>
      </c>
      <c r="Z391" s="1">
        <f t="shared" si="409"/>
        <v>13000</v>
      </c>
      <c r="AA391" s="41">
        <v>13000</v>
      </c>
      <c r="AB391" s="41">
        <f t="shared" si="410"/>
        <v>0</v>
      </c>
      <c r="AC391" s="1">
        <f t="shared" si="411"/>
        <v>13000</v>
      </c>
      <c r="AD391" s="41">
        <v>10000</v>
      </c>
      <c r="AE391" s="1">
        <f t="shared" si="412"/>
        <v>-3000</v>
      </c>
      <c r="AF391" s="1">
        <f t="shared" si="413"/>
        <v>10000</v>
      </c>
    </row>
    <row r="392" spans="1:32" s="2" customFormat="1" outlineLevel="1">
      <c r="A392" s="11">
        <v>32000</v>
      </c>
      <c r="B392" s="11">
        <v>21400</v>
      </c>
      <c r="C392" s="11" t="s">
        <v>365</v>
      </c>
      <c r="D392" s="7">
        <v>800</v>
      </c>
      <c r="E392" s="7"/>
      <c r="F392" s="7">
        <f t="shared" si="382"/>
        <v>800</v>
      </c>
      <c r="G392" s="7"/>
      <c r="H392" s="7">
        <f t="shared" si="383"/>
        <v>800</v>
      </c>
      <c r="I392" s="1"/>
      <c r="J392" s="1">
        <f t="shared" si="384"/>
        <v>800</v>
      </c>
      <c r="K392" s="1"/>
      <c r="L392" s="1">
        <f t="shared" si="392"/>
        <v>800</v>
      </c>
      <c r="M392" s="7"/>
      <c r="N392" s="1">
        <f t="shared" si="402"/>
        <v>800</v>
      </c>
      <c r="O392" s="1"/>
      <c r="P392" s="3"/>
      <c r="Q392" s="1">
        <f t="shared" si="404"/>
        <v>800</v>
      </c>
      <c r="R392" s="3"/>
      <c r="S392" s="3"/>
      <c r="T392" s="1">
        <f t="shared" si="406"/>
        <v>800</v>
      </c>
      <c r="U392" s="1">
        <f t="shared" si="406"/>
        <v>800</v>
      </c>
      <c r="V392" s="1">
        <f t="shared" si="407"/>
        <v>0</v>
      </c>
      <c r="W392" s="1">
        <f t="shared" si="408"/>
        <v>800</v>
      </c>
      <c r="X392" s="41">
        <v>200</v>
      </c>
      <c r="Y392" s="41">
        <f t="shared" si="372"/>
        <v>-600</v>
      </c>
      <c r="Z392" s="1">
        <f t="shared" si="409"/>
        <v>200</v>
      </c>
      <c r="AA392" s="41">
        <v>2000</v>
      </c>
      <c r="AB392" s="41">
        <f t="shared" si="410"/>
        <v>1800</v>
      </c>
      <c r="AC392" s="1">
        <f t="shared" si="411"/>
        <v>2000</v>
      </c>
      <c r="AD392" s="41">
        <v>2000</v>
      </c>
      <c r="AE392" s="1">
        <f t="shared" si="412"/>
        <v>0</v>
      </c>
      <c r="AF392" s="1">
        <f t="shared" si="413"/>
        <v>2000</v>
      </c>
    </row>
    <row r="393" spans="1:32" s="2" customFormat="1" outlineLevel="1">
      <c r="A393" s="11">
        <v>32000</v>
      </c>
      <c r="B393" s="11">
        <v>22000</v>
      </c>
      <c r="C393" s="11" t="s">
        <v>366</v>
      </c>
      <c r="D393" s="7">
        <v>1600</v>
      </c>
      <c r="E393" s="7"/>
      <c r="F393" s="7">
        <f t="shared" si="382"/>
        <v>1600</v>
      </c>
      <c r="G393" s="7"/>
      <c r="H393" s="7">
        <f t="shared" si="383"/>
        <v>1600</v>
      </c>
      <c r="I393" s="1"/>
      <c r="J393" s="1">
        <f t="shared" si="384"/>
        <v>1600</v>
      </c>
      <c r="K393" s="1"/>
      <c r="L393" s="1">
        <f t="shared" si="392"/>
        <v>1600</v>
      </c>
      <c r="M393" s="7"/>
      <c r="N393" s="1">
        <f t="shared" si="402"/>
        <v>1600</v>
      </c>
      <c r="O393" s="1"/>
      <c r="P393" s="3"/>
      <c r="Q393" s="1">
        <f t="shared" si="404"/>
        <v>1600</v>
      </c>
      <c r="R393" s="3"/>
      <c r="S393" s="3"/>
      <c r="T393" s="1">
        <f t="shared" si="406"/>
        <v>1600</v>
      </c>
      <c r="U393" s="1">
        <f t="shared" si="406"/>
        <v>1600</v>
      </c>
      <c r="V393" s="1">
        <f t="shared" si="407"/>
        <v>0</v>
      </c>
      <c r="W393" s="1">
        <f t="shared" si="408"/>
        <v>1600</v>
      </c>
      <c r="X393" s="41">
        <v>2000</v>
      </c>
      <c r="Y393" s="41">
        <f t="shared" si="372"/>
        <v>400</v>
      </c>
      <c r="Z393" s="1">
        <f t="shared" si="409"/>
        <v>2000</v>
      </c>
      <c r="AA393" s="41">
        <v>2000</v>
      </c>
      <c r="AB393" s="41">
        <f t="shared" si="410"/>
        <v>0</v>
      </c>
      <c r="AC393" s="1">
        <f t="shared" si="411"/>
        <v>2000</v>
      </c>
      <c r="AD393" s="41">
        <v>2000</v>
      </c>
      <c r="AE393" s="1">
        <f t="shared" si="412"/>
        <v>0</v>
      </c>
      <c r="AF393" s="1">
        <f t="shared" si="413"/>
        <v>2000</v>
      </c>
    </row>
    <row r="394" spans="1:32" s="2" customFormat="1" outlineLevel="1">
      <c r="A394" s="11">
        <v>32000</v>
      </c>
      <c r="B394" s="11">
        <v>22101</v>
      </c>
      <c r="C394" s="39" t="s">
        <v>248</v>
      </c>
      <c r="D394" s="7"/>
      <c r="E394" s="7"/>
      <c r="F394" s="7"/>
      <c r="G394" s="7"/>
      <c r="H394" s="7"/>
      <c r="I394" s="1"/>
      <c r="J394" s="1"/>
      <c r="K394" s="1"/>
      <c r="L394" s="1"/>
      <c r="M394" s="7"/>
      <c r="N394" s="1"/>
      <c r="O394" s="1"/>
      <c r="P394" s="3"/>
      <c r="Q394" s="1"/>
      <c r="R394" s="3"/>
      <c r="S394" s="3"/>
      <c r="T394" s="1"/>
      <c r="U394" s="1"/>
      <c r="V394" s="1"/>
      <c r="W394" s="1"/>
      <c r="X394" s="41"/>
      <c r="Y394" s="41"/>
      <c r="Z394" s="1"/>
      <c r="AA394" s="41"/>
      <c r="AB394" s="41"/>
      <c r="AC394" s="1">
        <v>0</v>
      </c>
      <c r="AD394" s="41">
        <v>5000</v>
      </c>
      <c r="AE394" s="1">
        <f t="shared" ref="AE394" si="414">AD394-AC394</f>
        <v>5000</v>
      </c>
      <c r="AF394" s="1">
        <f t="shared" ref="AF394" si="415">AC394+AE394</f>
        <v>5000</v>
      </c>
    </row>
    <row r="395" spans="1:32" s="2" customFormat="1" outlineLevel="1">
      <c r="A395" s="11">
        <v>32000</v>
      </c>
      <c r="B395" s="11">
        <v>22103</v>
      </c>
      <c r="C395" s="11" t="s">
        <v>367</v>
      </c>
      <c r="D395" s="7">
        <v>30000.400000000001</v>
      </c>
      <c r="E395" s="7"/>
      <c r="F395" s="7">
        <f t="shared" si="382"/>
        <v>30000.400000000001</v>
      </c>
      <c r="G395" s="7">
        <v>-3000</v>
      </c>
      <c r="H395" s="7">
        <f t="shared" si="383"/>
        <v>27000.400000000001</v>
      </c>
      <c r="I395" s="1"/>
      <c r="J395" s="1">
        <f t="shared" si="384"/>
        <v>27000.400000000001</v>
      </c>
      <c r="K395" s="1"/>
      <c r="L395" s="1">
        <f t="shared" si="392"/>
        <v>27000.400000000001</v>
      </c>
      <c r="M395" s="7"/>
      <c r="N395" s="1">
        <f t="shared" si="402"/>
        <v>27000.400000000001</v>
      </c>
      <c r="O395" s="1"/>
      <c r="P395" s="3"/>
      <c r="Q395" s="1">
        <f t="shared" si="404"/>
        <v>27000.400000000001</v>
      </c>
      <c r="R395" s="3"/>
      <c r="S395" s="3"/>
      <c r="T395" s="1">
        <f t="shared" si="406"/>
        <v>27000.400000000001</v>
      </c>
      <c r="U395" s="41">
        <v>32000</v>
      </c>
      <c r="V395" s="1">
        <f t="shared" si="407"/>
        <v>4999.5999999999985</v>
      </c>
      <c r="W395" s="1">
        <f t="shared" si="408"/>
        <v>32000</v>
      </c>
      <c r="X395" s="41">
        <v>32000</v>
      </c>
      <c r="Y395" s="41">
        <f t="shared" si="372"/>
        <v>0</v>
      </c>
      <c r="Z395" s="1">
        <f t="shared" si="409"/>
        <v>32000</v>
      </c>
      <c r="AA395" s="41">
        <v>35000</v>
      </c>
      <c r="AB395" s="41">
        <f t="shared" si="410"/>
        <v>3000</v>
      </c>
      <c r="AC395" s="1">
        <f t="shared" si="411"/>
        <v>35000</v>
      </c>
      <c r="AD395" s="41">
        <v>35000</v>
      </c>
      <c r="AE395" s="1">
        <f t="shared" si="412"/>
        <v>0</v>
      </c>
      <c r="AF395" s="1">
        <f t="shared" si="413"/>
        <v>35000</v>
      </c>
    </row>
    <row r="396" spans="1:32" s="2" customFormat="1" outlineLevel="1">
      <c r="A396" s="11">
        <v>32000</v>
      </c>
      <c r="B396" s="11">
        <v>22104</v>
      </c>
      <c r="C396" s="11" t="s">
        <v>368</v>
      </c>
      <c r="D396" s="7">
        <v>1600</v>
      </c>
      <c r="E396" s="7"/>
      <c r="F396" s="7">
        <f t="shared" si="382"/>
        <v>1600</v>
      </c>
      <c r="G396" s="7"/>
      <c r="H396" s="7">
        <f t="shared" si="383"/>
        <v>1600</v>
      </c>
      <c r="I396" s="1"/>
      <c r="J396" s="1">
        <f t="shared" si="384"/>
        <v>1600</v>
      </c>
      <c r="K396" s="1"/>
      <c r="L396" s="1">
        <f t="shared" si="392"/>
        <v>1600</v>
      </c>
      <c r="M396" s="7"/>
      <c r="N396" s="1">
        <f t="shared" si="402"/>
        <v>1600</v>
      </c>
      <c r="O396" s="1"/>
      <c r="P396" s="3"/>
      <c r="Q396" s="1">
        <f t="shared" si="404"/>
        <v>1600</v>
      </c>
      <c r="R396" s="3"/>
      <c r="S396" s="3"/>
      <c r="T396" s="1">
        <f t="shared" si="406"/>
        <v>1600</v>
      </c>
      <c r="U396" s="1">
        <f t="shared" si="406"/>
        <v>1600</v>
      </c>
      <c r="V396" s="1">
        <f t="shared" si="407"/>
        <v>0</v>
      </c>
      <c r="W396" s="1">
        <f t="shared" si="408"/>
        <v>1600</v>
      </c>
      <c r="X396" s="41">
        <v>2000</v>
      </c>
      <c r="Y396" s="41">
        <f t="shared" si="372"/>
        <v>400</v>
      </c>
      <c r="Z396" s="1">
        <f t="shared" si="409"/>
        <v>2000</v>
      </c>
      <c r="AA396" s="41">
        <v>2600</v>
      </c>
      <c r="AB396" s="41">
        <f t="shared" si="410"/>
        <v>600</v>
      </c>
      <c r="AC396" s="1">
        <f t="shared" si="411"/>
        <v>2600</v>
      </c>
      <c r="AD396" s="41">
        <v>2000</v>
      </c>
      <c r="AE396" s="1">
        <f t="shared" si="412"/>
        <v>-600</v>
      </c>
      <c r="AF396" s="1">
        <f t="shared" si="413"/>
        <v>2000</v>
      </c>
    </row>
    <row r="397" spans="1:32" s="2" customFormat="1" outlineLevel="1">
      <c r="A397" s="11">
        <v>32000</v>
      </c>
      <c r="B397" s="11">
        <v>22199</v>
      </c>
      <c r="C397" s="11" t="s">
        <v>232</v>
      </c>
      <c r="D397" s="7">
        <v>20000</v>
      </c>
      <c r="E397" s="7"/>
      <c r="F397" s="7">
        <f t="shared" si="382"/>
        <v>20000</v>
      </c>
      <c r="G397" s="7">
        <v>-2000</v>
      </c>
      <c r="H397" s="7">
        <f t="shared" si="383"/>
        <v>18000</v>
      </c>
      <c r="I397" s="1"/>
      <c r="J397" s="1">
        <f t="shared" si="384"/>
        <v>18000</v>
      </c>
      <c r="K397" s="1"/>
      <c r="L397" s="1">
        <f t="shared" si="392"/>
        <v>18000</v>
      </c>
      <c r="M397" s="7"/>
      <c r="N397" s="1">
        <f t="shared" si="402"/>
        <v>18000</v>
      </c>
      <c r="O397" s="1"/>
      <c r="P397" s="3"/>
      <c r="Q397" s="1">
        <f t="shared" si="404"/>
        <v>18000</v>
      </c>
      <c r="R397" s="3"/>
      <c r="S397" s="3"/>
      <c r="T397" s="1">
        <f t="shared" si="406"/>
        <v>18000</v>
      </c>
      <c r="U397" s="1">
        <f t="shared" si="406"/>
        <v>18000</v>
      </c>
      <c r="V397" s="1">
        <f t="shared" si="407"/>
        <v>0</v>
      </c>
      <c r="W397" s="1">
        <f t="shared" si="408"/>
        <v>18000</v>
      </c>
      <c r="X397" s="41">
        <v>20000</v>
      </c>
      <c r="Y397" s="41">
        <f t="shared" si="372"/>
        <v>2000</v>
      </c>
      <c r="Z397" s="1">
        <f t="shared" si="409"/>
        <v>20000</v>
      </c>
      <c r="AA397" s="41">
        <v>25000</v>
      </c>
      <c r="AB397" s="41">
        <f t="shared" si="410"/>
        <v>5000</v>
      </c>
      <c r="AC397" s="1">
        <f t="shared" si="411"/>
        <v>25000</v>
      </c>
      <c r="AD397" s="41">
        <v>25000</v>
      </c>
      <c r="AE397" s="1">
        <f t="shared" si="412"/>
        <v>0</v>
      </c>
      <c r="AF397" s="1">
        <f t="shared" si="413"/>
        <v>25000</v>
      </c>
    </row>
    <row r="398" spans="1:32" s="2" customFormat="1" outlineLevel="1">
      <c r="A398" s="11">
        <v>32000</v>
      </c>
      <c r="B398" s="11">
        <v>22601</v>
      </c>
      <c r="C398" s="11" t="s">
        <v>369</v>
      </c>
      <c r="D398" s="7">
        <v>800</v>
      </c>
      <c r="E398" s="7"/>
      <c r="F398" s="7">
        <f t="shared" si="382"/>
        <v>800</v>
      </c>
      <c r="G398" s="7"/>
      <c r="H398" s="7">
        <f t="shared" si="383"/>
        <v>800</v>
      </c>
      <c r="I398" s="1"/>
      <c r="J398" s="1">
        <f t="shared" si="384"/>
        <v>800</v>
      </c>
      <c r="K398" s="1"/>
      <c r="L398" s="1">
        <f t="shared" si="392"/>
        <v>800</v>
      </c>
      <c r="M398" s="7"/>
      <c r="N398" s="1">
        <f t="shared" si="402"/>
        <v>800</v>
      </c>
      <c r="O398" s="1"/>
      <c r="P398" s="3"/>
      <c r="Q398" s="1">
        <f t="shared" si="404"/>
        <v>800</v>
      </c>
      <c r="R398" s="3"/>
      <c r="S398" s="3"/>
      <c r="T398" s="1">
        <f t="shared" si="406"/>
        <v>800</v>
      </c>
      <c r="U398" s="1">
        <f t="shared" si="406"/>
        <v>800</v>
      </c>
      <c r="V398" s="1">
        <f t="shared" si="407"/>
        <v>0</v>
      </c>
      <c r="W398" s="1">
        <f t="shared" si="408"/>
        <v>800</v>
      </c>
      <c r="X398" s="41">
        <v>200</v>
      </c>
      <c r="Y398" s="41">
        <f t="shared" si="372"/>
        <v>-600</v>
      </c>
      <c r="Z398" s="1">
        <f t="shared" si="409"/>
        <v>200</v>
      </c>
      <c r="AA398" s="41">
        <v>200</v>
      </c>
      <c r="AB398" s="41">
        <f t="shared" si="410"/>
        <v>0</v>
      </c>
      <c r="AC398" s="1">
        <f t="shared" si="411"/>
        <v>200</v>
      </c>
      <c r="AD398" s="41">
        <v>0</v>
      </c>
      <c r="AE398" s="1">
        <f t="shared" si="412"/>
        <v>-200</v>
      </c>
      <c r="AF398" s="1">
        <f t="shared" si="413"/>
        <v>0</v>
      </c>
    </row>
    <row r="399" spans="1:32" s="2" customFormat="1" outlineLevel="1">
      <c r="A399" s="11">
        <v>32000</v>
      </c>
      <c r="B399" s="11">
        <v>22602</v>
      </c>
      <c r="C399" s="11" t="s">
        <v>370</v>
      </c>
      <c r="D399" s="7">
        <v>6000</v>
      </c>
      <c r="E399" s="7"/>
      <c r="F399" s="7">
        <f t="shared" si="382"/>
        <v>6000</v>
      </c>
      <c r="G399" s="7">
        <v>-1000</v>
      </c>
      <c r="H399" s="7">
        <f t="shared" si="383"/>
        <v>5000</v>
      </c>
      <c r="I399" s="1"/>
      <c r="J399" s="1">
        <f t="shared" si="384"/>
        <v>5000</v>
      </c>
      <c r="K399" s="1"/>
      <c r="L399" s="1">
        <f t="shared" si="392"/>
        <v>5000</v>
      </c>
      <c r="M399" s="7"/>
      <c r="N399" s="1">
        <f t="shared" si="402"/>
        <v>5000</v>
      </c>
      <c r="O399" s="1"/>
      <c r="P399" s="16"/>
      <c r="Q399" s="1">
        <f t="shared" si="404"/>
        <v>5000</v>
      </c>
      <c r="R399" s="3"/>
      <c r="S399" s="16"/>
      <c r="T399" s="1">
        <f t="shared" si="406"/>
        <v>5000</v>
      </c>
      <c r="U399" s="1">
        <f t="shared" si="406"/>
        <v>5000</v>
      </c>
      <c r="V399" s="1">
        <f t="shared" si="407"/>
        <v>0</v>
      </c>
      <c r="W399" s="1">
        <f t="shared" si="408"/>
        <v>5000</v>
      </c>
      <c r="X399" s="41">
        <v>0</v>
      </c>
      <c r="Y399" s="41">
        <f t="shared" si="372"/>
        <v>-5000</v>
      </c>
      <c r="Z399" s="1">
        <f t="shared" si="409"/>
        <v>0</v>
      </c>
      <c r="AA399" s="41">
        <v>0</v>
      </c>
      <c r="AB399" s="41">
        <f t="shared" si="410"/>
        <v>0</v>
      </c>
      <c r="AC399" s="1">
        <f t="shared" si="411"/>
        <v>0</v>
      </c>
      <c r="AD399" s="41">
        <v>0</v>
      </c>
      <c r="AE399" s="1">
        <f t="shared" si="412"/>
        <v>0</v>
      </c>
      <c r="AF399" s="1">
        <f t="shared" si="413"/>
        <v>0</v>
      </c>
    </row>
    <row r="400" spans="1:32" s="2" customFormat="1" outlineLevel="1">
      <c r="A400" s="11">
        <v>32000</v>
      </c>
      <c r="B400" s="11">
        <v>22606</v>
      </c>
      <c r="C400" s="11" t="s">
        <v>371</v>
      </c>
      <c r="D400" s="7">
        <v>20000</v>
      </c>
      <c r="E400" s="7"/>
      <c r="F400" s="7">
        <f t="shared" si="382"/>
        <v>20000</v>
      </c>
      <c r="G400" s="7">
        <v>-5000</v>
      </c>
      <c r="H400" s="7">
        <f t="shared" si="383"/>
        <v>15000</v>
      </c>
      <c r="I400" s="1"/>
      <c r="J400" s="1">
        <f t="shared" si="384"/>
        <v>15000</v>
      </c>
      <c r="K400" s="1"/>
      <c r="L400" s="1">
        <f t="shared" si="392"/>
        <v>15000</v>
      </c>
      <c r="M400" s="7"/>
      <c r="N400" s="1">
        <f t="shared" si="402"/>
        <v>15000</v>
      </c>
      <c r="O400" s="1"/>
      <c r="P400" s="3"/>
      <c r="Q400" s="1">
        <f t="shared" si="404"/>
        <v>15000</v>
      </c>
      <c r="R400" s="3"/>
      <c r="S400" s="3"/>
      <c r="T400" s="1">
        <f t="shared" si="406"/>
        <v>15000</v>
      </c>
      <c r="U400" s="1">
        <f t="shared" si="406"/>
        <v>15000</v>
      </c>
      <c r="V400" s="1">
        <f t="shared" si="407"/>
        <v>0</v>
      </c>
      <c r="W400" s="1">
        <f t="shared" si="408"/>
        <v>15000</v>
      </c>
      <c r="X400" s="41">
        <v>10000</v>
      </c>
      <c r="Y400" s="41">
        <f t="shared" si="372"/>
        <v>-5000</v>
      </c>
      <c r="Z400" s="1">
        <f t="shared" si="409"/>
        <v>10000</v>
      </c>
      <c r="AA400" s="41">
        <v>4000</v>
      </c>
      <c r="AB400" s="41">
        <f t="shared" si="410"/>
        <v>-6000</v>
      </c>
      <c r="AC400" s="1">
        <f t="shared" si="411"/>
        <v>4000</v>
      </c>
      <c r="AD400" s="41">
        <v>4000</v>
      </c>
      <c r="AE400" s="1">
        <f t="shared" si="412"/>
        <v>0</v>
      </c>
      <c r="AF400" s="1">
        <f t="shared" si="413"/>
        <v>4000</v>
      </c>
    </row>
    <row r="401" spans="1:32" s="2" customFormat="1" outlineLevel="1">
      <c r="A401" s="11">
        <v>32000</v>
      </c>
      <c r="B401" s="11">
        <v>22699</v>
      </c>
      <c r="C401" s="11" t="s">
        <v>256</v>
      </c>
      <c r="D401" s="7">
        <v>4400</v>
      </c>
      <c r="E401" s="7"/>
      <c r="F401" s="7">
        <f t="shared" si="382"/>
        <v>4400</v>
      </c>
      <c r="G401" s="7">
        <v>-1400</v>
      </c>
      <c r="H401" s="7">
        <f t="shared" si="383"/>
        <v>3000</v>
      </c>
      <c r="I401" s="1"/>
      <c r="J401" s="1">
        <f t="shared" si="384"/>
        <v>3000</v>
      </c>
      <c r="K401" s="1"/>
      <c r="L401" s="1">
        <f t="shared" si="392"/>
        <v>3000</v>
      </c>
      <c r="M401" s="7"/>
      <c r="N401" s="1">
        <f t="shared" si="402"/>
        <v>3000</v>
      </c>
      <c r="O401" s="1"/>
      <c r="P401" s="3"/>
      <c r="Q401" s="1">
        <f t="shared" si="404"/>
        <v>3000</v>
      </c>
      <c r="R401" s="3"/>
      <c r="S401" s="3"/>
      <c r="T401" s="1">
        <f t="shared" si="406"/>
        <v>3000</v>
      </c>
      <c r="U401" s="1">
        <f t="shared" si="406"/>
        <v>3000</v>
      </c>
      <c r="V401" s="1">
        <f t="shared" si="407"/>
        <v>0</v>
      </c>
      <c r="W401" s="1">
        <f t="shared" si="408"/>
        <v>3000</v>
      </c>
      <c r="X401" s="41">
        <v>1500</v>
      </c>
      <c r="Y401" s="41">
        <f t="shared" si="372"/>
        <v>-1500</v>
      </c>
      <c r="Z401" s="1">
        <f t="shared" si="409"/>
        <v>1500</v>
      </c>
      <c r="AA401" s="41">
        <v>1000</v>
      </c>
      <c r="AB401" s="41">
        <f t="shared" si="410"/>
        <v>-500</v>
      </c>
      <c r="AC401" s="1">
        <f t="shared" si="411"/>
        <v>1000</v>
      </c>
      <c r="AD401" s="41">
        <v>1000</v>
      </c>
      <c r="AE401" s="1">
        <f t="shared" si="412"/>
        <v>0</v>
      </c>
      <c r="AF401" s="1">
        <f t="shared" si="413"/>
        <v>1000</v>
      </c>
    </row>
    <row r="402" spans="1:32" s="2" customFormat="1" outlineLevel="1">
      <c r="A402" s="11">
        <v>32000</v>
      </c>
      <c r="B402" s="11">
        <v>22700</v>
      </c>
      <c r="C402" s="11" t="s">
        <v>372</v>
      </c>
      <c r="D402" s="7">
        <v>430000</v>
      </c>
      <c r="E402" s="7">
        <v>430000</v>
      </c>
      <c r="F402" s="7">
        <f t="shared" ref="F402:F465" si="416">D402-E402</f>
        <v>0</v>
      </c>
      <c r="G402" s="7"/>
      <c r="H402" s="7">
        <f t="shared" si="383"/>
        <v>430000</v>
      </c>
      <c r="I402" s="1"/>
      <c r="J402" s="1">
        <f t="shared" si="384"/>
        <v>430000</v>
      </c>
      <c r="K402" s="1">
        <v>-89583.039999999994</v>
      </c>
      <c r="L402" s="1">
        <f t="shared" si="392"/>
        <v>340416.96</v>
      </c>
      <c r="M402" s="7"/>
      <c r="N402" s="1">
        <f t="shared" si="402"/>
        <v>340416.96</v>
      </c>
      <c r="O402" s="1"/>
      <c r="P402" s="3"/>
      <c r="Q402" s="1">
        <f t="shared" si="404"/>
        <v>340416.96</v>
      </c>
      <c r="R402" s="16">
        <f>27706.58*12</f>
        <v>332478.96000000002</v>
      </c>
      <c r="S402" s="16">
        <f>R402-Q402</f>
        <v>-7938</v>
      </c>
      <c r="T402" s="1">
        <f t="shared" si="406"/>
        <v>332478.96000000002</v>
      </c>
      <c r="U402" s="1">
        <v>332478.96000000002</v>
      </c>
      <c r="V402" s="1">
        <f t="shared" si="407"/>
        <v>0</v>
      </c>
      <c r="W402" s="1">
        <f t="shared" si="408"/>
        <v>332478.96000000002</v>
      </c>
      <c r="X402" s="41">
        <v>332478.96000000002</v>
      </c>
      <c r="Y402" s="41">
        <f t="shared" si="372"/>
        <v>0</v>
      </c>
      <c r="Z402" s="1">
        <f t="shared" si="409"/>
        <v>332478.96000000002</v>
      </c>
      <c r="AA402" s="41">
        <v>332478.96000000002</v>
      </c>
      <c r="AB402" s="41">
        <f t="shared" si="410"/>
        <v>0</v>
      </c>
      <c r="AC402" s="1">
        <f t="shared" si="411"/>
        <v>332478.96000000002</v>
      </c>
      <c r="AD402" s="41">
        <v>332478.96000000002</v>
      </c>
      <c r="AE402" s="1">
        <f t="shared" si="412"/>
        <v>0</v>
      </c>
      <c r="AF402" s="1">
        <f t="shared" si="413"/>
        <v>332478.96000000002</v>
      </c>
    </row>
    <row r="403" spans="1:32" s="2" customFormat="1" outlineLevel="1">
      <c r="A403" s="11">
        <v>32000</v>
      </c>
      <c r="B403" s="11">
        <v>23020</v>
      </c>
      <c r="C403" s="11" t="s">
        <v>373</v>
      </c>
      <c r="D403" s="7">
        <v>800</v>
      </c>
      <c r="E403" s="7"/>
      <c r="F403" s="7">
        <f t="shared" si="416"/>
        <v>800</v>
      </c>
      <c r="G403" s="7"/>
      <c r="H403" s="7">
        <f t="shared" si="383"/>
        <v>800</v>
      </c>
      <c r="I403" s="1"/>
      <c r="J403" s="1">
        <f t="shared" si="384"/>
        <v>800</v>
      </c>
      <c r="K403" s="1"/>
      <c r="L403" s="1">
        <f t="shared" si="392"/>
        <v>800</v>
      </c>
      <c r="M403" s="7"/>
      <c r="N403" s="1">
        <f t="shared" si="402"/>
        <v>800</v>
      </c>
      <c r="O403" s="1"/>
      <c r="P403" s="3"/>
      <c r="Q403" s="1">
        <f t="shared" si="404"/>
        <v>800</v>
      </c>
      <c r="R403" s="3"/>
      <c r="S403" s="3"/>
      <c r="T403" s="1">
        <f t="shared" si="406"/>
        <v>800</v>
      </c>
      <c r="U403" s="1">
        <f t="shared" si="406"/>
        <v>800</v>
      </c>
      <c r="V403" s="1">
        <f t="shared" si="407"/>
        <v>0</v>
      </c>
      <c r="W403" s="1">
        <f t="shared" si="408"/>
        <v>800</v>
      </c>
      <c r="X403" s="41">
        <v>100</v>
      </c>
      <c r="Y403" s="41">
        <f t="shared" si="372"/>
        <v>-700</v>
      </c>
      <c r="Z403" s="1">
        <f t="shared" si="409"/>
        <v>100</v>
      </c>
      <c r="AA403" s="41">
        <v>100</v>
      </c>
      <c r="AB403" s="41">
        <f t="shared" si="410"/>
        <v>0</v>
      </c>
      <c r="AC403" s="1">
        <f t="shared" si="411"/>
        <v>100</v>
      </c>
      <c r="AD403" s="41">
        <v>100</v>
      </c>
      <c r="AE403" s="1">
        <f t="shared" si="412"/>
        <v>0</v>
      </c>
      <c r="AF403" s="1">
        <f t="shared" si="413"/>
        <v>100</v>
      </c>
    </row>
    <row r="404" spans="1:32" s="2" customFormat="1" outlineLevel="1">
      <c r="A404" s="11">
        <v>32000</v>
      </c>
      <c r="B404" s="11">
        <v>23120</v>
      </c>
      <c r="C404" s="11" t="s">
        <v>374</v>
      </c>
      <c r="D404" s="7">
        <v>800</v>
      </c>
      <c r="E404" s="7"/>
      <c r="F404" s="7">
        <f t="shared" si="416"/>
        <v>800</v>
      </c>
      <c r="G404" s="7"/>
      <c r="H404" s="7">
        <f t="shared" si="383"/>
        <v>800</v>
      </c>
      <c r="I404" s="1"/>
      <c r="J404" s="1">
        <f t="shared" si="384"/>
        <v>800</v>
      </c>
      <c r="K404" s="1"/>
      <c r="L404" s="1">
        <f t="shared" si="392"/>
        <v>800</v>
      </c>
      <c r="M404" s="7"/>
      <c r="N404" s="1">
        <f t="shared" si="402"/>
        <v>800</v>
      </c>
      <c r="O404" s="1"/>
      <c r="P404" s="3"/>
      <c r="Q404" s="1">
        <f t="shared" si="404"/>
        <v>800</v>
      </c>
      <c r="R404" s="3"/>
      <c r="S404" s="3"/>
      <c r="T404" s="1">
        <f t="shared" si="406"/>
        <v>800</v>
      </c>
      <c r="U404" s="1">
        <f t="shared" si="406"/>
        <v>800</v>
      </c>
      <c r="V404" s="1">
        <f t="shared" si="407"/>
        <v>0</v>
      </c>
      <c r="W404" s="1">
        <f t="shared" si="408"/>
        <v>800</v>
      </c>
      <c r="X404" s="41">
        <v>100</v>
      </c>
      <c r="Y404" s="41">
        <f t="shared" si="372"/>
        <v>-700</v>
      </c>
      <c r="Z404" s="1">
        <f t="shared" si="409"/>
        <v>100</v>
      </c>
      <c r="AA404" s="41">
        <v>200</v>
      </c>
      <c r="AB404" s="41">
        <f t="shared" si="410"/>
        <v>100</v>
      </c>
      <c r="AC404" s="1">
        <f t="shared" si="411"/>
        <v>200</v>
      </c>
      <c r="AD404" s="41">
        <v>200</v>
      </c>
      <c r="AE404" s="1">
        <f t="shared" si="412"/>
        <v>0</v>
      </c>
      <c r="AF404" s="1">
        <f t="shared" si="413"/>
        <v>200</v>
      </c>
    </row>
    <row r="405" spans="1:32" s="2" customFormat="1" outlineLevel="1">
      <c r="A405" s="11">
        <v>32000</v>
      </c>
      <c r="B405" s="11">
        <v>48900</v>
      </c>
      <c r="C405" s="11" t="s">
        <v>408</v>
      </c>
      <c r="D405" s="7">
        <v>25000</v>
      </c>
      <c r="E405" s="7"/>
      <c r="F405" s="7">
        <f t="shared" si="416"/>
        <v>25000</v>
      </c>
      <c r="G405" s="7"/>
      <c r="H405" s="7">
        <f t="shared" si="383"/>
        <v>25000</v>
      </c>
      <c r="I405" s="1"/>
      <c r="J405" s="1">
        <f t="shared" si="384"/>
        <v>25000</v>
      </c>
      <c r="K405" s="1"/>
      <c r="L405" s="1">
        <f t="shared" si="392"/>
        <v>25000</v>
      </c>
      <c r="M405" s="7">
        <v>-10000</v>
      </c>
      <c r="N405" s="1">
        <f t="shared" si="402"/>
        <v>15000</v>
      </c>
      <c r="O405" s="1"/>
      <c r="P405" s="3"/>
      <c r="Q405" s="1">
        <f t="shared" si="404"/>
        <v>15000</v>
      </c>
      <c r="R405" s="3"/>
      <c r="S405" s="16"/>
      <c r="T405" s="1">
        <f t="shared" si="406"/>
        <v>15000</v>
      </c>
      <c r="U405" s="1">
        <f t="shared" si="406"/>
        <v>15000</v>
      </c>
      <c r="V405" s="1">
        <f t="shared" si="407"/>
        <v>0</v>
      </c>
      <c r="W405" s="1">
        <f t="shared" si="408"/>
        <v>15000</v>
      </c>
      <c r="X405" s="41">
        <v>12520</v>
      </c>
      <c r="Y405" s="41">
        <f t="shared" si="372"/>
        <v>-2480</v>
      </c>
      <c r="Z405" s="1">
        <f t="shared" si="409"/>
        <v>12520</v>
      </c>
      <c r="AA405" s="41">
        <v>19000</v>
      </c>
      <c r="AB405" s="41">
        <f t="shared" si="410"/>
        <v>6480</v>
      </c>
      <c r="AC405" s="1">
        <f t="shared" si="411"/>
        <v>19000</v>
      </c>
      <c r="AD405" s="41">
        <v>19000</v>
      </c>
      <c r="AE405" s="1">
        <f t="shared" si="412"/>
        <v>0</v>
      </c>
      <c r="AF405" s="1">
        <f t="shared" si="413"/>
        <v>19000</v>
      </c>
    </row>
    <row r="406" spans="1:32" s="2" customFormat="1" outlineLevel="1">
      <c r="A406" s="11">
        <v>32000</v>
      </c>
      <c r="B406" s="11">
        <v>48901</v>
      </c>
      <c r="C406" s="11" t="s">
        <v>702</v>
      </c>
      <c r="D406" s="7">
        <v>230000</v>
      </c>
      <c r="E406" s="7"/>
      <c r="F406" s="7">
        <f t="shared" si="416"/>
        <v>230000</v>
      </c>
      <c r="G406" s="7">
        <v>-90000</v>
      </c>
      <c r="H406" s="7">
        <f t="shared" si="383"/>
        <v>140000</v>
      </c>
      <c r="I406" s="1"/>
      <c r="J406" s="1">
        <f t="shared" si="384"/>
        <v>140000</v>
      </c>
      <c r="K406" s="1"/>
      <c r="L406" s="1">
        <f t="shared" si="392"/>
        <v>140000</v>
      </c>
      <c r="M406" s="7">
        <v>0</v>
      </c>
      <c r="N406" s="1">
        <f t="shared" si="402"/>
        <v>140000</v>
      </c>
      <c r="O406" s="1"/>
      <c r="P406" s="16">
        <v>-70000</v>
      </c>
      <c r="Q406" s="1">
        <f t="shared" si="404"/>
        <v>70000</v>
      </c>
      <c r="R406" s="3"/>
      <c r="S406" s="16">
        <v>15000</v>
      </c>
      <c r="T406" s="1">
        <f t="shared" si="406"/>
        <v>85000</v>
      </c>
      <c r="U406" s="1">
        <f t="shared" si="406"/>
        <v>85000</v>
      </c>
      <c r="V406" s="1">
        <f t="shared" si="407"/>
        <v>0</v>
      </c>
      <c r="W406" s="1">
        <f t="shared" si="408"/>
        <v>85000</v>
      </c>
      <c r="X406" s="41">
        <v>200000</v>
      </c>
      <c r="Y406" s="41">
        <f t="shared" si="372"/>
        <v>115000</v>
      </c>
      <c r="Z406" s="1">
        <f t="shared" si="409"/>
        <v>200000</v>
      </c>
      <c r="AA406" s="41">
        <v>40000</v>
      </c>
      <c r="AB406" s="41">
        <f t="shared" si="410"/>
        <v>-160000</v>
      </c>
      <c r="AC406" s="1">
        <f t="shared" si="411"/>
        <v>40000</v>
      </c>
      <c r="AD406" s="41">
        <v>20000</v>
      </c>
      <c r="AE406" s="1">
        <f t="shared" si="412"/>
        <v>-20000</v>
      </c>
      <c r="AF406" s="1">
        <f t="shared" si="413"/>
        <v>20000</v>
      </c>
    </row>
    <row r="407" spans="1:32" s="2" customFormat="1" outlineLevel="1">
      <c r="A407" s="11">
        <v>32000</v>
      </c>
      <c r="B407" s="11">
        <v>48902</v>
      </c>
      <c r="C407" s="11" t="s">
        <v>931</v>
      </c>
      <c r="D407" s="7"/>
      <c r="E407" s="7"/>
      <c r="F407" s="7"/>
      <c r="G407" s="7"/>
      <c r="H407" s="7"/>
      <c r="I407" s="1"/>
      <c r="J407" s="1"/>
      <c r="K407" s="1"/>
      <c r="L407" s="1"/>
      <c r="M407" s="7"/>
      <c r="N407" s="1"/>
      <c r="O407" s="1"/>
      <c r="P407" s="16"/>
      <c r="Q407" s="1"/>
      <c r="R407" s="3"/>
      <c r="S407" s="16"/>
      <c r="T407" s="1"/>
      <c r="U407" s="1"/>
      <c r="V407" s="1"/>
      <c r="W407" s="1">
        <v>0</v>
      </c>
      <c r="X407" s="41">
        <v>35000</v>
      </c>
      <c r="Y407" s="41">
        <f t="shared" ref="Y407" si="417">X407-W407</f>
        <v>35000</v>
      </c>
      <c r="Z407" s="1">
        <f t="shared" ref="Z407" si="418">W407+Y407</f>
        <v>35000</v>
      </c>
      <c r="AA407" s="41">
        <v>35000</v>
      </c>
      <c r="AB407" s="41">
        <f>AA407-Z407</f>
        <v>0</v>
      </c>
      <c r="AC407" s="1">
        <f t="shared" si="411"/>
        <v>35000</v>
      </c>
      <c r="AD407" s="41">
        <v>50000</v>
      </c>
      <c r="AE407" s="1">
        <f t="shared" si="412"/>
        <v>15000</v>
      </c>
      <c r="AF407" s="1">
        <f t="shared" si="413"/>
        <v>50000</v>
      </c>
    </row>
    <row r="408" spans="1:32" s="2" customFormat="1" outlineLevel="1">
      <c r="A408" s="11">
        <v>32000</v>
      </c>
      <c r="B408" s="11">
        <v>63200</v>
      </c>
      <c r="C408" s="11" t="s">
        <v>894</v>
      </c>
      <c r="D408" s="7"/>
      <c r="E408" s="7"/>
      <c r="F408" s="7"/>
      <c r="G408" s="7"/>
      <c r="H408" s="7"/>
      <c r="I408" s="1"/>
      <c r="J408" s="1"/>
      <c r="K408" s="1"/>
      <c r="L408" s="1"/>
      <c r="M408" s="7"/>
      <c r="N408" s="1"/>
      <c r="O408" s="1"/>
      <c r="P408" s="16"/>
      <c r="Q408" s="1"/>
      <c r="R408" s="3"/>
      <c r="S408" s="16"/>
      <c r="T408" s="1"/>
      <c r="U408" s="1"/>
      <c r="V408" s="1"/>
      <c r="W408" s="1"/>
      <c r="X408" s="41"/>
      <c r="Y408" s="41"/>
      <c r="Z408" s="1">
        <v>0</v>
      </c>
      <c r="AA408" s="41">
        <v>10000</v>
      </c>
      <c r="AB408" s="41">
        <f>AA408-Z408</f>
        <v>10000</v>
      </c>
      <c r="AC408" s="1">
        <f t="shared" ref="AC408" si="419">Z408+AB408</f>
        <v>10000</v>
      </c>
      <c r="AD408" s="41">
        <v>40000</v>
      </c>
      <c r="AE408" s="1">
        <f t="shared" si="412"/>
        <v>30000</v>
      </c>
      <c r="AF408" s="1">
        <f t="shared" si="413"/>
        <v>40000</v>
      </c>
    </row>
    <row r="409" spans="1:32" s="2" customFormat="1" outlineLevel="1">
      <c r="A409" s="9" t="s">
        <v>12</v>
      </c>
      <c r="B409" s="9"/>
      <c r="C409" s="9" t="s">
        <v>40</v>
      </c>
      <c r="D409" s="8">
        <f t="shared" ref="D409:Q409" si="420">SUBTOTAL(9,D377:D406)</f>
        <v>1149154.6600000001</v>
      </c>
      <c r="E409" s="8">
        <f t="shared" si="420"/>
        <v>797509.83000000007</v>
      </c>
      <c r="F409" s="8">
        <f t="shared" si="420"/>
        <v>351644.82999999996</v>
      </c>
      <c r="G409" s="8">
        <f t="shared" si="420"/>
        <v>-10164.429999999978</v>
      </c>
      <c r="H409" s="8">
        <f t="shared" si="420"/>
        <v>1138990.23</v>
      </c>
      <c r="I409" s="8">
        <f t="shared" si="420"/>
        <v>481002.2</v>
      </c>
      <c r="J409" s="8">
        <f t="shared" si="420"/>
        <v>657988.03</v>
      </c>
      <c r="K409" s="8">
        <f t="shared" si="420"/>
        <v>73049.33</v>
      </c>
      <c r="L409" s="8">
        <f t="shared" si="420"/>
        <v>1212039.56</v>
      </c>
      <c r="M409" s="8">
        <f t="shared" si="420"/>
        <v>-44799.460000000021</v>
      </c>
      <c r="N409" s="8">
        <f t="shared" si="420"/>
        <v>1167240.1000000001</v>
      </c>
      <c r="O409" s="8">
        <f t="shared" si="420"/>
        <v>411314.43</v>
      </c>
      <c r="P409" s="8">
        <f t="shared" si="420"/>
        <v>-49888.309999999983</v>
      </c>
      <c r="Q409" s="8">
        <f t="shared" si="420"/>
        <v>1117351.79</v>
      </c>
      <c r="R409" s="3"/>
      <c r="S409" s="8">
        <f>SUBTOTAL(9,S377:S406)</f>
        <v>-81798.459999999977</v>
      </c>
      <c r="T409" s="8">
        <f>SUBTOTAL(9,T377:T406)</f>
        <v>1035553.3300000001</v>
      </c>
      <c r="U409" s="8">
        <f>SUBTOTAL(9,U377:U406)</f>
        <v>1352530.68</v>
      </c>
      <c r="V409" s="8">
        <f>SUBTOTAL(9,V377:V406)</f>
        <v>316977.34999999998</v>
      </c>
      <c r="W409" s="8">
        <f t="shared" ref="W409:Y409" si="421">SUBTOTAL(9,W377:W407)</f>
        <v>1352530.68</v>
      </c>
      <c r="X409" s="8">
        <f t="shared" si="421"/>
        <v>1581810.25</v>
      </c>
      <c r="Y409" s="8">
        <f t="shared" si="421"/>
        <v>229279.57</v>
      </c>
      <c r="Z409" s="8">
        <f>SUBTOTAL(9,Z377:Z408)</f>
        <v>1581810.25</v>
      </c>
      <c r="AA409" s="8">
        <f t="shared" ref="AA409:AB409" si="422">SUBTOTAL(9,AA377:AA408)</f>
        <v>1528237.9099999997</v>
      </c>
      <c r="AB409" s="8">
        <f t="shared" si="422"/>
        <v>-53572.340000000026</v>
      </c>
      <c r="AC409" s="8">
        <f>SUBTOTAL(9,AC376:AC408)</f>
        <v>1528237.9099999997</v>
      </c>
      <c r="AD409" s="8">
        <f t="shared" ref="AD409:AF409" si="423">SUBTOTAL(9,AD376:AD408)</f>
        <v>1809185.7</v>
      </c>
      <c r="AE409" s="8">
        <f t="shared" si="423"/>
        <v>280947.79000000004</v>
      </c>
      <c r="AF409" s="8">
        <f t="shared" si="423"/>
        <v>1809185.7</v>
      </c>
    </row>
    <row r="410" spans="1:32" s="2" customFormat="1" outlineLevel="1">
      <c r="A410" s="42">
        <v>33220</v>
      </c>
      <c r="B410" s="42">
        <v>12000</v>
      </c>
      <c r="C410" s="11" t="s">
        <v>113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3"/>
      <c r="S410" s="8"/>
      <c r="T410" s="8"/>
      <c r="U410" s="8"/>
      <c r="V410" s="8"/>
      <c r="W410" s="8"/>
      <c r="X410" s="8"/>
      <c r="Y410" s="8"/>
      <c r="Z410" s="47">
        <v>0</v>
      </c>
      <c r="AA410" s="47">
        <v>3233.28</v>
      </c>
      <c r="AB410" s="41">
        <f t="shared" ref="AB410" si="424">AA410-Z410</f>
        <v>3233.28</v>
      </c>
      <c r="AC410" s="1">
        <f t="shared" ref="AC410" si="425">Z410+AB410</f>
        <v>3233.28</v>
      </c>
      <c r="AD410" s="41">
        <v>1865</v>
      </c>
      <c r="AE410" s="1">
        <f t="shared" ref="AE410:AE426" si="426">AD410-AC410</f>
        <v>-1368.2800000000002</v>
      </c>
      <c r="AF410" s="1">
        <f t="shared" ref="AF410:AF426" si="427">AC410+AE410</f>
        <v>1865</v>
      </c>
    </row>
    <row r="411" spans="1:32" outlineLevel="2">
      <c r="A411" s="11">
        <v>33220</v>
      </c>
      <c r="B411" s="11">
        <v>12001</v>
      </c>
      <c r="C411" s="11" t="s">
        <v>565</v>
      </c>
      <c r="D411" s="7">
        <v>0</v>
      </c>
      <c r="E411" s="7">
        <v>16348.77</v>
      </c>
      <c r="F411" s="7">
        <f>D411-E411</f>
        <v>-16348.77</v>
      </c>
      <c r="G411" s="7">
        <v>16348.77</v>
      </c>
      <c r="H411" s="7">
        <f>D411+G411</f>
        <v>16348.77</v>
      </c>
      <c r="I411" s="1">
        <v>0</v>
      </c>
      <c r="J411" s="1">
        <f t="shared" si="384"/>
        <v>16348.77</v>
      </c>
      <c r="K411" s="1">
        <v>-16348.77</v>
      </c>
      <c r="L411" s="1">
        <f t="shared" si="392"/>
        <v>0</v>
      </c>
      <c r="M411" s="7">
        <v>12906.52</v>
      </c>
      <c r="N411" s="1">
        <f t="shared" ref="N411:N426" si="428">L411+M411</f>
        <v>12906.52</v>
      </c>
      <c r="O411" s="1">
        <v>12906.52</v>
      </c>
      <c r="P411" s="1">
        <f t="shared" ref="P411:P418" si="429">O411-N411</f>
        <v>0</v>
      </c>
      <c r="Q411" s="1">
        <f t="shared" ref="Q411:Q426" si="430">N411+P411</f>
        <v>12906.52</v>
      </c>
      <c r="R411" s="1">
        <v>12906.52</v>
      </c>
      <c r="S411" s="1">
        <f t="shared" ref="S411:S418" si="431">R411-Q411</f>
        <v>0</v>
      </c>
      <c r="T411" s="1">
        <f t="shared" ref="T411:U426" si="432">Q411+S411</f>
        <v>12906.52</v>
      </c>
      <c r="U411" s="1">
        <v>12906.52</v>
      </c>
      <c r="V411" s="1">
        <f t="shared" ref="V411:V426" si="433">U411-T411</f>
        <v>0</v>
      </c>
      <c r="W411" s="1">
        <f t="shared" ref="W411:W426" si="434">T411+V411</f>
        <v>12906.52</v>
      </c>
      <c r="X411" s="1">
        <f>931.33+13035.59</f>
        <v>13966.92</v>
      </c>
      <c r="Y411" s="41">
        <f t="shared" si="372"/>
        <v>1060.3999999999996</v>
      </c>
      <c r="Z411" s="1">
        <f t="shared" ref="Z411:Z426" si="435">W411+Y411</f>
        <v>13966.92</v>
      </c>
      <c r="AA411" s="1">
        <v>13165.95</v>
      </c>
      <c r="AB411" s="41">
        <f t="shared" ref="AB411:AB426" si="436">AA411-Z411</f>
        <v>-800.96999999999935</v>
      </c>
      <c r="AC411" s="1">
        <f t="shared" ref="AC411:AC426" si="437">Z411+AB411</f>
        <v>13165.95</v>
      </c>
      <c r="AD411" s="41">
        <v>13363.5</v>
      </c>
      <c r="AE411" s="1">
        <f t="shared" si="426"/>
        <v>197.54999999999927</v>
      </c>
      <c r="AF411" s="1">
        <f t="shared" si="427"/>
        <v>13363.5</v>
      </c>
    </row>
    <row r="412" spans="1:32" outlineLevel="2">
      <c r="A412" s="11">
        <v>33220</v>
      </c>
      <c r="B412" s="11">
        <v>12003</v>
      </c>
      <c r="C412" s="11" t="s">
        <v>599</v>
      </c>
      <c r="D412" s="7"/>
      <c r="E412" s="7"/>
      <c r="F412" s="7"/>
      <c r="G412" s="7"/>
      <c r="H412" s="7">
        <v>0</v>
      </c>
      <c r="I412" s="1">
        <v>9884.84</v>
      </c>
      <c r="J412" s="1">
        <f t="shared" si="384"/>
        <v>-9884.84</v>
      </c>
      <c r="K412" s="1">
        <v>9884.84</v>
      </c>
      <c r="L412" s="1">
        <f t="shared" si="392"/>
        <v>9884.84</v>
      </c>
      <c r="M412" s="7">
        <v>0</v>
      </c>
      <c r="N412" s="1">
        <f t="shared" si="428"/>
        <v>9884.84</v>
      </c>
      <c r="O412" s="1">
        <v>9884.84</v>
      </c>
      <c r="P412" s="1">
        <f t="shared" si="429"/>
        <v>0</v>
      </c>
      <c r="Q412" s="1">
        <f t="shared" si="430"/>
        <v>9884.84</v>
      </c>
      <c r="R412" s="1">
        <v>9884.84</v>
      </c>
      <c r="S412" s="1">
        <f t="shared" si="431"/>
        <v>0</v>
      </c>
      <c r="T412" s="1">
        <f t="shared" si="432"/>
        <v>9884.84</v>
      </c>
      <c r="U412" s="1">
        <v>9884.84</v>
      </c>
      <c r="V412" s="1">
        <f t="shared" si="433"/>
        <v>0</v>
      </c>
      <c r="W412" s="1">
        <f t="shared" si="434"/>
        <v>9884.84</v>
      </c>
      <c r="X412" s="1">
        <f>902.91+9983.69</f>
        <v>10886.6</v>
      </c>
      <c r="Y412" s="41">
        <f t="shared" si="372"/>
        <v>1001.7600000000002</v>
      </c>
      <c r="Z412" s="1">
        <f t="shared" si="435"/>
        <v>10886.6</v>
      </c>
      <c r="AA412" s="1">
        <v>10083.65</v>
      </c>
      <c r="AB412" s="41">
        <f t="shared" si="436"/>
        <v>-802.95000000000073</v>
      </c>
      <c r="AC412" s="1">
        <f t="shared" si="437"/>
        <v>10083.65</v>
      </c>
      <c r="AD412" s="41">
        <v>10235.01</v>
      </c>
      <c r="AE412" s="1">
        <f t="shared" si="426"/>
        <v>151.36000000000058</v>
      </c>
      <c r="AF412" s="1">
        <f t="shared" si="427"/>
        <v>10235.01</v>
      </c>
    </row>
    <row r="413" spans="1:32" outlineLevel="2">
      <c r="A413" s="11">
        <v>33220</v>
      </c>
      <c r="B413" s="11">
        <v>12004</v>
      </c>
      <c r="C413" s="11" t="s">
        <v>121</v>
      </c>
      <c r="D413" s="7">
        <v>0</v>
      </c>
      <c r="E413" s="7">
        <v>40366.410000000003</v>
      </c>
      <c r="F413" s="7">
        <f t="shared" si="416"/>
        <v>-40366.410000000003</v>
      </c>
      <c r="G413" s="7">
        <v>40366.410000000003</v>
      </c>
      <c r="H413" s="7">
        <f>D413+G413</f>
        <v>40366.410000000003</v>
      </c>
      <c r="I413" s="1">
        <v>39798.26</v>
      </c>
      <c r="J413" s="1">
        <f t="shared" si="384"/>
        <v>568.15000000000146</v>
      </c>
      <c r="K413" s="1">
        <v>-568.15</v>
      </c>
      <c r="L413" s="1">
        <f t="shared" si="392"/>
        <v>39798.26</v>
      </c>
      <c r="M413" s="7">
        <f>33514.32-L413</f>
        <v>-6283.9400000000023</v>
      </c>
      <c r="N413" s="1">
        <f t="shared" si="428"/>
        <v>33514.32</v>
      </c>
      <c r="O413" s="1">
        <v>33514.32</v>
      </c>
      <c r="P413" s="1">
        <f t="shared" si="429"/>
        <v>0</v>
      </c>
      <c r="Q413" s="1">
        <f t="shared" si="430"/>
        <v>33514.32</v>
      </c>
      <c r="R413" s="1">
        <v>33514.32</v>
      </c>
      <c r="S413" s="1">
        <f t="shared" si="431"/>
        <v>0</v>
      </c>
      <c r="T413" s="1">
        <f t="shared" si="432"/>
        <v>33514.32</v>
      </c>
      <c r="U413" s="1">
        <v>41892.9</v>
      </c>
      <c r="V413" s="1">
        <f t="shared" si="433"/>
        <v>8378.5800000000017</v>
      </c>
      <c r="W413" s="1">
        <f t="shared" si="434"/>
        <v>41892.9</v>
      </c>
      <c r="X413" s="1">
        <f>2977.53+33849.48</f>
        <v>36827.01</v>
      </c>
      <c r="Y413" s="41">
        <f t="shared" si="372"/>
        <v>-5065.8899999999994</v>
      </c>
      <c r="Z413" s="1">
        <f t="shared" si="435"/>
        <v>36827.01</v>
      </c>
      <c r="AA413" s="1">
        <v>42735.31</v>
      </c>
      <c r="AB413" s="41">
        <f t="shared" si="436"/>
        <v>5908.2999999999956</v>
      </c>
      <c r="AC413" s="1">
        <f t="shared" si="437"/>
        <v>42735.31</v>
      </c>
      <c r="AD413" s="41">
        <v>43376.95</v>
      </c>
      <c r="AE413" s="1">
        <f t="shared" si="426"/>
        <v>641.63999999999942</v>
      </c>
      <c r="AF413" s="1">
        <f t="shared" si="427"/>
        <v>43376.95</v>
      </c>
    </row>
    <row r="414" spans="1:32" outlineLevel="2">
      <c r="A414" s="11">
        <v>33220</v>
      </c>
      <c r="B414" s="11">
        <v>12006</v>
      </c>
      <c r="C414" s="11" t="s">
        <v>81</v>
      </c>
      <c r="D414" s="7">
        <v>0</v>
      </c>
      <c r="E414" s="7">
        <v>4825.6400000000003</v>
      </c>
      <c r="F414" s="7">
        <f t="shared" si="416"/>
        <v>-4825.6400000000003</v>
      </c>
      <c r="G414" s="7">
        <v>4825.6400000000003</v>
      </c>
      <c r="H414" s="7">
        <f t="shared" ref="H414:H426" si="438">D414+G414</f>
        <v>4825.6400000000003</v>
      </c>
      <c r="I414" s="1">
        <v>8625.5400000000009</v>
      </c>
      <c r="J414" s="1">
        <f t="shared" si="384"/>
        <v>-3799.9000000000005</v>
      </c>
      <c r="K414" s="1">
        <v>3799.9</v>
      </c>
      <c r="L414" s="1">
        <f t="shared" si="392"/>
        <v>8625.5400000000009</v>
      </c>
      <c r="M414" s="7">
        <f>9055.14-L414</f>
        <v>429.59999999999854</v>
      </c>
      <c r="N414" s="1">
        <f t="shared" si="428"/>
        <v>9055.14</v>
      </c>
      <c r="O414" s="1">
        <v>9627.94</v>
      </c>
      <c r="P414" s="1">
        <f t="shared" si="429"/>
        <v>572.80000000000109</v>
      </c>
      <c r="Q414" s="1">
        <f t="shared" si="430"/>
        <v>9627.94</v>
      </c>
      <c r="R414" s="1">
        <v>11757.05</v>
      </c>
      <c r="S414" s="1">
        <f t="shared" si="431"/>
        <v>2129.1099999999988</v>
      </c>
      <c r="T414" s="1">
        <f t="shared" si="432"/>
        <v>11757.05</v>
      </c>
      <c r="U414" s="1">
        <v>12820.5</v>
      </c>
      <c r="V414" s="1">
        <f t="shared" si="433"/>
        <v>1063.4500000000007</v>
      </c>
      <c r="W414" s="1">
        <f t="shared" si="434"/>
        <v>12820.5</v>
      </c>
      <c r="X414" s="1">
        <v>12315.94</v>
      </c>
      <c r="Y414" s="41">
        <f t="shared" si="372"/>
        <v>-504.55999999999949</v>
      </c>
      <c r="Z414" s="1">
        <f t="shared" si="435"/>
        <v>12315.94</v>
      </c>
      <c r="AA414" s="1">
        <v>13122.66</v>
      </c>
      <c r="AB414" s="41">
        <f t="shared" si="436"/>
        <v>806.71999999999935</v>
      </c>
      <c r="AC414" s="1">
        <f t="shared" si="437"/>
        <v>13122.66</v>
      </c>
      <c r="AD414" s="41">
        <v>14055.61</v>
      </c>
      <c r="AE414" s="1">
        <f t="shared" si="426"/>
        <v>932.95000000000073</v>
      </c>
      <c r="AF414" s="1">
        <f t="shared" si="427"/>
        <v>14055.61</v>
      </c>
    </row>
    <row r="415" spans="1:32" outlineLevel="2">
      <c r="A415" s="11">
        <v>33220</v>
      </c>
      <c r="B415" s="11">
        <v>12100</v>
      </c>
      <c r="C415" s="11" t="s">
        <v>122</v>
      </c>
      <c r="D415" s="7">
        <v>50677.59</v>
      </c>
      <c r="E415" s="7">
        <v>22983.22</v>
      </c>
      <c r="F415" s="7">
        <f>D415-E415</f>
        <v>27694.369999999995</v>
      </c>
      <c r="G415" s="7">
        <v>-27694.37</v>
      </c>
      <c r="H415" s="7">
        <f>D415+G415</f>
        <v>22983.219999999998</v>
      </c>
      <c r="I415" s="1">
        <v>27301.82</v>
      </c>
      <c r="J415" s="1">
        <f t="shared" si="384"/>
        <v>-4318.6000000000022</v>
      </c>
      <c r="K415" s="1">
        <v>4318.6000000000004</v>
      </c>
      <c r="L415" s="1">
        <f t="shared" si="392"/>
        <v>27301.82</v>
      </c>
      <c r="M415" s="7">
        <f>31001.46-L415</f>
        <v>3699.6399999999994</v>
      </c>
      <c r="N415" s="1">
        <f t="shared" si="428"/>
        <v>31001.46</v>
      </c>
      <c r="O415" s="1">
        <v>31001.46</v>
      </c>
      <c r="P415" s="1">
        <f t="shared" si="429"/>
        <v>0</v>
      </c>
      <c r="Q415" s="1">
        <f t="shared" si="430"/>
        <v>31001.46</v>
      </c>
      <c r="R415" s="1">
        <v>31001.46</v>
      </c>
      <c r="S415" s="1">
        <f t="shared" si="431"/>
        <v>0</v>
      </c>
      <c r="T415" s="1">
        <f t="shared" si="432"/>
        <v>31001.46</v>
      </c>
      <c r="U415" s="1">
        <v>35585.620000000003</v>
      </c>
      <c r="V415" s="1">
        <f t="shared" si="433"/>
        <v>4584.1600000000035</v>
      </c>
      <c r="W415" s="1">
        <f t="shared" si="434"/>
        <v>35585.620000000003</v>
      </c>
      <c r="X415" s="1">
        <v>31311.47</v>
      </c>
      <c r="Y415" s="41">
        <f t="shared" si="372"/>
        <v>-4274.1500000000015</v>
      </c>
      <c r="Z415" s="1">
        <f t="shared" si="435"/>
        <v>31311.47</v>
      </c>
      <c r="AA415" s="1">
        <v>37345.01</v>
      </c>
      <c r="AB415" s="41">
        <f t="shared" si="436"/>
        <v>6033.5400000000009</v>
      </c>
      <c r="AC415" s="1">
        <f t="shared" si="437"/>
        <v>37345.01</v>
      </c>
      <c r="AD415" s="41">
        <v>37906.120000000003</v>
      </c>
      <c r="AE415" s="1">
        <f t="shared" si="426"/>
        <v>561.11000000000058</v>
      </c>
      <c r="AF415" s="1">
        <f t="shared" si="427"/>
        <v>37906.120000000003</v>
      </c>
    </row>
    <row r="416" spans="1:32" outlineLevel="2">
      <c r="A416" s="11">
        <v>33220</v>
      </c>
      <c r="B416" s="11">
        <v>12101</v>
      </c>
      <c r="C416" s="11" t="s">
        <v>123</v>
      </c>
      <c r="D416" s="7">
        <v>0</v>
      </c>
      <c r="E416" s="7">
        <v>27846.400000000001</v>
      </c>
      <c r="F416" s="7">
        <f t="shared" si="416"/>
        <v>-27846.400000000001</v>
      </c>
      <c r="G416" s="7">
        <v>27846.400000000001</v>
      </c>
      <c r="H416" s="7">
        <f t="shared" si="438"/>
        <v>27846.400000000001</v>
      </c>
      <c r="I416" s="1">
        <v>35343.879999999997</v>
      </c>
      <c r="J416" s="1">
        <f t="shared" si="384"/>
        <v>-7497.4799999999959</v>
      </c>
      <c r="K416" s="1">
        <v>7497.48</v>
      </c>
      <c r="L416" s="1">
        <f t="shared" si="392"/>
        <v>35343.880000000005</v>
      </c>
      <c r="M416" s="7">
        <f>40423.32-L416</f>
        <v>5079.4399999999951</v>
      </c>
      <c r="N416" s="1">
        <f t="shared" si="428"/>
        <v>40423.32</v>
      </c>
      <c r="O416" s="1">
        <v>40423.32</v>
      </c>
      <c r="P416" s="1">
        <f t="shared" si="429"/>
        <v>0</v>
      </c>
      <c r="Q416" s="1">
        <f t="shared" si="430"/>
        <v>40423.32</v>
      </c>
      <c r="R416" s="1">
        <v>40423.32</v>
      </c>
      <c r="S416" s="1">
        <f t="shared" si="431"/>
        <v>0</v>
      </c>
      <c r="T416" s="1">
        <f t="shared" si="432"/>
        <v>40423.32</v>
      </c>
      <c r="U416" s="1">
        <v>46468.38</v>
      </c>
      <c r="V416" s="1">
        <f t="shared" si="433"/>
        <v>6045.0599999999977</v>
      </c>
      <c r="W416" s="1">
        <f t="shared" si="434"/>
        <v>46468.38</v>
      </c>
      <c r="X416" s="1">
        <v>40334.49</v>
      </c>
      <c r="Y416" s="41">
        <f t="shared" si="372"/>
        <v>-6133.8899999999994</v>
      </c>
      <c r="Z416" s="1">
        <f t="shared" si="435"/>
        <v>40334.49</v>
      </c>
      <c r="AA416" s="1">
        <v>48912.74</v>
      </c>
      <c r="AB416" s="41">
        <f t="shared" si="436"/>
        <v>8578.25</v>
      </c>
      <c r="AC416" s="1">
        <f t="shared" si="437"/>
        <v>48912.74</v>
      </c>
      <c r="AD416" s="41">
        <v>49646.51</v>
      </c>
      <c r="AE416" s="1">
        <f t="shared" si="426"/>
        <v>733.77000000000407</v>
      </c>
      <c r="AF416" s="1">
        <f t="shared" si="427"/>
        <v>49646.51</v>
      </c>
    </row>
    <row r="417" spans="1:32" outlineLevel="2">
      <c r="A417" s="11">
        <v>33220</v>
      </c>
      <c r="B417" s="11">
        <v>15000</v>
      </c>
      <c r="C417" s="11" t="s">
        <v>387</v>
      </c>
      <c r="D417" s="7"/>
      <c r="E417" s="7"/>
      <c r="F417" s="7"/>
      <c r="G417" s="7"/>
      <c r="H417" s="7"/>
      <c r="I417" s="1"/>
      <c r="J417" s="1"/>
      <c r="K417" s="1"/>
      <c r="L417" s="1"/>
      <c r="N417" s="1">
        <v>0</v>
      </c>
      <c r="O417" s="1">
        <v>1000</v>
      </c>
      <c r="P417" s="1">
        <f>O417-N417</f>
        <v>1000</v>
      </c>
      <c r="Q417" s="1">
        <f t="shared" si="430"/>
        <v>1000</v>
      </c>
      <c r="R417" s="1">
        <v>1000</v>
      </c>
      <c r="S417" s="1">
        <f t="shared" si="431"/>
        <v>0</v>
      </c>
      <c r="T417" s="1">
        <f t="shared" si="432"/>
        <v>1000</v>
      </c>
      <c r="U417" s="1">
        <v>1000</v>
      </c>
      <c r="V417" s="1">
        <f t="shared" si="433"/>
        <v>0</v>
      </c>
      <c r="W417" s="1">
        <f t="shared" si="434"/>
        <v>1000</v>
      </c>
      <c r="X417" s="1">
        <v>2500</v>
      </c>
      <c r="Y417" s="41">
        <f t="shared" si="372"/>
        <v>1500</v>
      </c>
      <c r="Z417" s="1">
        <f t="shared" si="435"/>
        <v>2500</v>
      </c>
      <c r="AA417" s="1">
        <v>3400</v>
      </c>
      <c r="AB417" s="41">
        <f t="shared" si="436"/>
        <v>900</v>
      </c>
      <c r="AC417" s="1">
        <f t="shared" si="437"/>
        <v>3400</v>
      </c>
      <c r="AD417" s="41">
        <v>3400</v>
      </c>
      <c r="AE417" s="1">
        <f t="shared" si="426"/>
        <v>0</v>
      </c>
      <c r="AF417" s="1">
        <f t="shared" si="427"/>
        <v>3400</v>
      </c>
    </row>
    <row r="418" spans="1:32" outlineLevel="2">
      <c r="A418" s="11">
        <v>33220</v>
      </c>
      <c r="B418" s="19">
        <v>15100</v>
      </c>
      <c r="C418" s="19" t="s">
        <v>537</v>
      </c>
      <c r="D418" s="20">
        <v>200</v>
      </c>
      <c r="E418" s="20"/>
      <c r="F418" s="20">
        <f t="shared" si="416"/>
        <v>200</v>
      </c>
      <c r="G418" s="20"/>
      <c r="H418" s="20">
        <f t="shared" si="438"/>
        <v>200</v>
      </c>
      <c r="I418" s="21">
        <v>200</v>
      </c>
      <c r="J418" s="21">
        <f t="shared" si="384"/>
        <v>0</v>
      </c>
      <c r="K418" s="21">
        <v>0</v>
      </c>
      <c r="L418" s="21">
        <f t="shared" si="392"/>
        <v>200</v>
      </c>
      <c r="M418" s="7">
        <v>1000</v>
      </c>
      <c r="N418" s="1">
        <f t="shared" si="428"/>
        <v>1200</v>
      </c>
      <c r="O418" s="1">
        <v>1200</v>
      </c>
      <c r="P418" s="1">
        <f t="shared" si="429"/>
        <v>0</v>
      </c>
      <c r="Q418" s="1">
        <f t="shared" si="430"/>
        <v>1200</v>
      </c>
      <c r="R418" s="1">
        <v>200</v>
      </c>
      <c r="S418" s="1">
        <f t="shared" si="431"/>
        <v>-1000</v>
      </c>
      <c r="T418" s="1">
        <f t="shared" si="432"/>
        <v>200</v>
      </c>
      <c r="U418" s="1">
        <v>200</v>
      </c>
      <c r="V418" s="1">
        <f t="shared" si="433"/>
        <v>0</v>
      </c>
      <c r="W418" s="1">
        <f t="shared" si="434"/>
        <v>200</v>
      </c>
      <c r="X418" s="1">
        <v>200</v>
      </c>
      <c r="Y418" s="41">
        <f t="shared" si="372"/>
        <v>0</v>
      </c>
      <c r="Z418" s="1">
        <f t="shared" si="435"/>
        <v>200</v>
      </c>
      <c r="AA418" s="1">
        <v>200</v>
      </c>
      <c r="AB418" s="41">
        <f t="shared" si="436"/>
        <v>0</v>
      </c>
      <c r="AC418" s="1">
        <f t="shared" si="437"/>
        <v>200</v>
      </c>
      <c r="AD418" s="41">
        <v>200</v>
      </c>
      <c r="AE418" s="1">
        <f t="shared" si="426"/>
        <v>0</v>
      </c>
      <c r="AF418" s="1">
        <f t="shared" si="427"/>
        <v>200</v>
      </c>
    </row>
    <row r="419" spans="1:32" outlineLevel="2">
      <c r="A419" s="13">
        <v>33220</v>
      </c>
      <c r="B419" s="60">
        <v>16000</v>
      </c>
      <c r="C419" s="56" t="s">
        <v>751</v>
      </c>
      <c r="D419" s="62"/>
      <c r="E419" s="64"/>
      <c r="F419" s="62"/>
      <c r="G419" s="64"/>
      <c r="H419" s="62"/>
      <c r="I419" s="64"/>
      <c r="J419" s="62"/>
      <c r="K419" s="64"/>
      <c r="L419" s="62"/>
      <c r="M419" s="63"/>
      <c r="N419" s="53"/>
      <c r="O419" s="53"/>
      <c r="P419" s="53"/>
      <c r="Q419" s="53"/>
      <c r="R419" s="58"/>
      <c r="S419" s="53"/>
      <c r="T419" s="53">
        <f t="shared" si="432"/>
        <v>0</v>
      </c>
      <c r="U419" s="63"/>
      <c r="V419" s="53">
        <f t="shared" si="433"/>
        <v>0</v>
      </c>
      <c r="W419" s="53">
        <f t="shared" si="434"/>
        <v>0</v>
      </c>
      <c r="X419" s="1">
        <v>0</v>
      </c>
      <c r="Y419" s="41">
        <f t="shared" si="372"/>
        <v>0</v>
      </c>
      <c r="Z419" s="1">
        <f t="shared" si="435"/>
        <v>0</v>
      </c>
      <c r="AA419" s="1">
        <v>0</v>
      </c>
      <c r="AB419" s="41">
        <f t="shared" si="436"/>
        <v>0</v>
      </c>
      <c r="AC419" s="1">
        <f t="shared" si="437"/>
        <v>0</v>
      </c>
      <c r="AD419" s="41">
        <v>46507.12</v>
      </c>
      <c r="AE419" s="1">
        <f t="shared" si="426"/>
        <v>46507.12</v>
      </c>
      <c r="AF419" s="1">
        <f t="shared" si="427"/>
        <v>46507.12</v>
      </c>
    </row>
    <row r="420" spans="1:32" s="2" customFormat="1" outlineLevel="1">
      <c r="A420" s="11">
        <v>33220</v>
      </c>
      <c r="B420" s="11">
        <v>21300</v>
      </c>
      <c r="C420" s="11" t="s">
        <v>469</v>
      </c>
      <c r="D420" s="7">
        <v>2240</v>
      </c>
      <c r="E420" s="7"/>
      <c r="F420" s="7">
        <f t="shared" si="416"/>
        <v>2240</v>
      </c>
      <c r="G420" s="7">
        <v>-240</v>
      </c>
      <c r="H420" s="7">
        <f t="shared" si="438"/>
        <v>2000</v>
      </c>
      <c r="I420" s="1"/>
      <c r="J420" s="1">
        <f t="shared" si="384"/>
        <v>2000</v>
      </c>
      <c r="K420" s="1"/>
      <c r="L420" s="1">
        <f t="shared" si="392"/>
        <v>2000</v>
      </c>
      <c r="M420" s="7"/>
      <c r="N420" s="1">
        <f t="shared" si="428"/>
        <v>2000</v>
      </c>
      <c r="O420" s="1"/>
      <c r="P420" s="3"/>
      <c r="Q420" s="1">
        <f t="shared" si="430"/>
        <v>2000</v>
      </c>
      <c r="R420" s="3"/>
      <c r="S420" s="3"/>
      <c r="T420" s="1">
        <f t="shared" si="432"/>
        <v>2000</v>
      </c>
      <c r="U420" s="1">
        <f t="shared" si="432"/>
        <v>2000</v>
      </c>
      <c r="V420" s="1">
        <f t="shared" si="433"/>
        <v>0</v>
      </c>
      <c r="W420" s="1">
        <f t="shared" si="434"/>
        <v>2000</v>
      </c>
      <c r="X420" s="41">
        <v>2000</v>
      </c>
      <c r="Y420" s="41">
        <f t="shared" si="372"/>
        <v>0</v>
      </c>
      <c r="Z420" s="1">
        <f t="shared" si="435"/>
        <v>2000</v>
      </c>
      <c r="AA420" s="41">
        <v>2000</v>
      </c>
      <c r="AB420" s="41">
        <f t="shared" si="436"/>
        <v>0</v>
      </c>
      <c r="AC420" s="1">
        <f t="shared" si="437"/>
        <v>2000</v>
      </c>
      <c r="AD420" s="41">
        <v>2000</v>
      </c>
      <c r="AE420" s="1">
        <f t="shared" si="426"/>
        <v>0</v>
      </c>
      <c r="AF420" s="1">
        <f t="shared" si="427"/>
        <v>2000</v>
      </c>
    </row>
    <row r="421" spans="1:32" outlineLevel="2">
      <c r="A421" s="11">
        <v>33220</v>
      </c>
      <c r="B421" s="11">
        <v>22000</v>
      </c>
      <c r="C421" s="11" t="s">
        <v>470</v>
      </c>
      <c r="D421" s="7">
        <v>1840</v>
      </c>
      <c r="E421" s="7"/>
      <c r="F421" s="7">
        <f t="shared" si="416"/>
        <v>1840</v>
      </c>
      <c r="G421" s="7">
        <v>-340</v>
      </c>
      <c r="H421" s="7">
        <f t="shared" si="438"/>
        <v>1500</v>
      </c>
      <c r="I421" s="1"/>
      <c r="J421" s="1">
        <f t="shared" si="384"/>
        <v>1500</v>
      </c>
      <c r="K421" s="1"/>
      <c r="L421" s="1">
        <f t="shared" si="392"/>
        <v>1500</v>
      </c>
      <c r="N421" s="1">
        <f t="shared" si="428"/>
        <v>1500</v>
      </c>
      <c r="O421" s="1"/>
      <c r="Q421" s="1">
        <f t="shared" si="430"/>
        <v>1500</v>
      </c>
      <c r="T421" s="1">
        <f t="shared" si="432"/>
        <v>1500</v>
      </c>
      <c r="U421" s="1">
        <f t="shared" si="432"/>
        <v>1500</v>
      </c>
      <c r="V421" s="1">
        <f t="shared" si="433"/>
        <v>0</v>
      </c>
      <c r="W421" s="1">
        <f t="shared" si="434"/>
        <v>1500</v>
      </c>
      <c r="X421" s="1">
        <v>500</v>
      </c>
      <c r="Y421" s="41">
        <f t="shared" si="372"/>
        <v>-1000</v>
      </c>
      <c r="Z421" s="1">
        <f t="shared" si="435"/>
        <v>500</v>
      </c>
      <c r="AA421" s="1">
        <v>1500</v>
      </c>
      <c r="AB421" s="41">
        <f t="shared" si="436"/>
        <v>1000</v>
      </c>
      <c r="AC421" s="1">
        <f t="shared" si="437"/>
        <v>1500</v>
      </c>
      <c r="AD421" s="41">
        <v>1500</v>
      </c>
      <c r="AE421" s="1">
        <f t="shared" si="426"/>
        <v>0</v>
      </c>
      <c r="AF421" s="1">
        <f t="shared" si="427"/>
        <v>1500</v>
      </c>
    </row>
    <row r="422" spans="1:32" outlineLevel="2">
      <c r="A422" s="11">
        <v>33220</v>
      </c>
      <c r="B422" s="11">
        <v>22001</v>
      </c>
      <c r="C422" s="11" t="s">
        <v>471</v>
      </c>
      <c r="D422" s="7">
        <v>40000</v>
      </c>
      <c r="E422" s="7"/>
      <c r="F422" s="7">
        <f t="shared" si="416"/>
        <v>40000</v>
      </c>
      <c r="G422" s="7"/>
      <c r="H422" s="7">
        <f t="shared" si="438"/>
        <v>40000</v>
      </c>
      <c r="I422" s="1"/>
      <c r="J422" s="1">
        <f t="shared" si="384"/>
        <v>40000</v>
      </c>
      <c r="K422" s="1"/>
      <c r="L422" s="1">
        <f t="shared" si="392"/>
        <v>40000</v>
      </c>
      <c r="M422" s="10">
        <v>-20000</v>
      </c>
      <c r="N422" s="1">
        <f t="shared" si="428"/>
        <v>20000</v>
      </c>
      <c r="O422" s="1"/>
      <c r="Q422" s="1">
        <f t="shared" si="430"/>
        <v>20000</v>
      </c>
      <c r="T422" s="1">
        <f t="shared" si="432"/>
        <v>20000</v>
      </c>
      <c r="U422" s="1">
        <v>25000</v>
      </c>
      <c r="V422" s="1">
        <f t="shared" si="433"/>
        <v>5000</v>
      </c>
      <c r="W422" s="1">
        <f t="shared" si="434"/>
        <v>25000</v>
      </c>
      <c r="X422" s="1">
        <v>30000</v>
      </c>
      <c r="Y422" s="41">
        <f t="shared" si="372"/>
        <v>5000</v>
      </c>
      <c r="Z422" s="1">
        <f t="shared" si="435"/>
        <v>30000</v>
      </c>
      <c r="AA422" s="1">
        <v>35000</v>
      </c>
      <c r="AB422" s="41">
        <f t="shared" si="436"/>
        <v>5000</v>
      </c>
      <c r="AC422" s="1">
        <f t="shared" si="437"/>
        <v>35000</v>
      </c>
      <c r="AD422" s="41">
        <v>35000</v>
      </c>
      <c r="AE422" s="1">
        <f t="shared" si="426"/>
        <v>0</v>
      </c>
      <c r="AF422" s="1">
        <f t="shared" si="427"/>
        <v>35000</v>
      </c>
    </row>
    <row r="423" spans="1:32" outlineLevel="2">
      <c r="A423" s="11">
        <v>33220</v>
      </c>
      <c r="B423" s="11">
        <v>22606</v>
      </c>
      <c r="C423" s="11" t="s">
        <v>472</v>
      </c>
      <c r="D423" s="7">
        <v>15000</v>
      </c>
      <c r="E423" s="7"/>
      <c r="F423" s="7">
        <f t="shared" si="416"/>
        <v>15000</v>
      </c>
      <c r="G423" s="7"/>
      <c r="H423" s="7">
        <f t="shared" si="438"/>
        <v>15000</v>
      </c>
      <c r="I423" s="1"/>
      <c r="J423" s="1">
        <f t="shared" si="384"/>
        <v>15000</v>
      </c>
      <c r="K423" s="1"/>
      <c r="L423" s="1">
        <f t="shared" si="392"/>
        <v>15000</v>
      </c>
      <c r="N423" s="1">
        <f t="shared" si="428"/>
        <v>15000</v>
      </c>
      <c r="O423" s="1"/>
      <c r="Q423" s="1">
        <f t="shared" si="430"/>
        <v>15000</v>
      </c>
      <c r="T423" s="1">
        <f t="shared" si="432"/>
        <v>15000</v>
      </c>
      <c r="U423" s="1">
        <f t="shared" si="432"/>
        <v>15000</v>
      </c>
      <c r="V423" s="1">
        <f t="shared" si="433"/>
        <v>0</v>
      </c>
      <c r="W423" s="1">
        <f t="shared" si="434"/>
        <v>15000</v>
      </c>
      <c r="X423" s="1">
        <v>15000</v>
      </c>
      <c r="Y423" s="41">
        <f t="shared" si="372"/>
        <v>0</v>
      </c>
      <c r="Z423" s="1">
        <f t="shared" si="435"/>
        <v>15000</v>
      </c>
      <c r="AA423" s="1">
        <v>20000</v>
      </c>
      <c r="AB423" s="41">
        <f t="shared" si="436"/>
        <v>5000</v>
      </c>
      <c r="AC423" s="1">
        <f t="shared" si="437"/>
        <v>20000</v>
      </c>
      <c r="AD423" s="41">
        <v>20000</v>
      </c>
      <c r="AE423" s="1">
        <f t="shared" si="426"/>
        <v>0</v>
      </c>
      <c r="AF423" s="1">
        <f t="shared" si="427"/>
        <v>20000</v>
      </c>
    </row>
    <row r="424" spans="1:32" outlineLevel="2">
      <c r="A424" s="11">
        <v>33220</v>
      </c>
      <c r="B424" s="11">
        <v>22699</v>
      </c>
      <c r="C424" s="11" t="s">
        <v>473</v>
      </c>
      <c r="D424" s="7">
        <v>1600</v>
      </c>
      <c r="E424" s="7"/>
      <c r="F424" s="7">
        <f t="shared" si="416"/>
        <v>1600</v>
      </c>
      <c r="G424" s="7"/>
      <c r="H424" s="7">
        <f t="shared" si="438"/>
        <v>1600</v>
      </c>
      <c r="I424" s="1"/>
      <c r="J424" s="1">
        <f t="shared" si="384"/>
        <v>1600</v>
      </c>
      <c r="K424" s="1"/>
      <c r="L424" s="1">
        <f t="shared" si="392"/>
        <v>1600</v>
      </c>
      <c r="M424" s="8"/>
      <c r="N424" s="1">
        <f t="shared" si="428"/>
        <v>1600</v>
      </c>
      <c r="O424" s="1"/>
      <c r="Q424" s="1">
        <f t="shared" si="430"/>
        <v>1600</v>
      </c>
      <c r="T424" s="1">
        <f t="shared" si="432"/>
        <v>1600</v>
      </c>
      <c r="U424" s="1">
        <f t="shared" si="432"/>
        <v>1600</v>
      </c>
      <c r="V424" s="1">
        <f t="shared" si="433"/>
        <v>0</v>
      </c>
      <c r="W424" s="1">
        <f t="shared" si="434"/>
        <v>1600</v>
      </c>
      <c r="X424" s="1">
        <v>1500</v>
      </c>
      <c r="Y424" s="41">
        <f t="shared" si="372"/>
        <v>-100</v>
      </c>
      <c r="Z424" s="1">
        <f t="shared" si="435"/>
        <v>1500</v>
      </c>
      <c r="AA424" s="1">
        <v>2000</v>
      </c>
      <c r="AB424" s="41">
        <f t="shared" si="436"/>
        <v>500</v>
      </c>
      <c r="AC424" s="1">
        <f t="shared" si="437"/>
        <v>2000</v>
      </c>
      <c r="AD424" s="41">
        <v>2000</v>
      </c>
      <c r="AE424" s="1">
        <f t="shared" si="426"/>
        <v>0</v>
      </c>
      <c r="AF424" s="1">
        <f t="shared" si="427"/>
        <v>2000</v>
      </c>
    </row>
    <row r="425" spans="1:32" outlineLevel="2">
      <c r="A425" s="11">
        <v>33220</v>
      </c>
      <c r="B425" s="11">
        <v>23020</v>
      </c>
      <c r="C425" s="11" t="s">
        <v>474</v>
      </c>
      <c r="D425" s="7">
        <v>300</v>
      </c>
      <c r="E425" s="7"/>
      <c r="F425" s="7">
        <f t="shared" si="416"/>
        <v>300</v>
      </c>
      <c r="G425" s="7"/>
      <c r="H425" s="7">
        <f t="shared" si="438"/>
        <v>300</v>
      </c>
      <c r="I425" s="1"/>
      <c r="J425" s="1">
        <f t="shared" si="384"/>
        <v>300</v>
      </c>
      <c r="K425" s="1"/>
      <c r="L425" s="1">
        <f t="shared" si="392"/>
        <v>300</v>
      </c>
      <c r="N425" s="1">
        <f t="shared" si="428"/>
        <v>300</v>
      </c>
      <c r="O425" s="1"/>
      <c r="Q425" s="1">
        <f t="shared" si="430"/>
        <v>300</v>
      </c>
      <c r="T425" s="1">
        <f t="shared" si="432"/>
        <v>300</v>
      </c>
      <c r="U425" s="1">
        <f t="shared" si="432"/>
        <v>300</v>
      </c>
      <c r="V425" s="1">
        <f t="shared" si="433"/>
        <v>0</v>
      </c>
      <c r="W425" s="1">
        <f t="shared" si="434"/>
        <v>300</v>
      </c>
      <c r="X425" s="1">
        <v>100</v>
      </c>
      <c r="Y425" s="41">
        <f t="shared" si="372"/>
        <v>-200</v>
      </c>
      <c r="Z425" s="1">
        <f t="shared" si="435"/>
        <v>100</v>
      </c>
      <c r="AA425" s="1">
        <v>300</v>
      </c>
      <c r="AB425" s="41">
        <f t="shared" si="436"/>
        <v>200</v>
      </c>
      <c r="AC425" s="1">
        <f t="shared" si="437"/>
        <v>300</v>
      </c>
      <c r="AD425" s="41">
        <v>300</v>
      </c>
      <c r="AE425" s="1">
        <f t="shared" si="426"/>
        <v>0</v>
      </c>
      <c r="AF425" s="1">
        <f t="shared" si="427"/>
        <v>300</v>
      </c>
    </row>
    <row r="426" spans="1:32" outlineLevel="2">
      <c r="A426" s="11">
        <v>33220</v>
      </c>
      <c r="B426" s="11">
        <v>23120</v>
      </c>
      <c r="C426" s="11" t="s">
        <v>475</v>
      </c>
      <c r="D426" s="7">
        <v>400</v>
      </c>
      <c r="E426" s="7"/>
      <c r="F426" s="7">
        <f t="shared" si="416"/>
        <v>400</v>
      </c>
      <c r="G426" s="7"/>
      <c r="H426" s="7">
        <f t="shared" si="438"/>
        <v>400</v>
      </c>
      <c r="I426" s="1"/>
      <c r="J426" s="1">
        <f t="shared" si="384"/>
        <v>400</v>
      </c>
      <c r="K426" s="1"/>
      <c r="L426" s="1">
        <f t="shared" si="392"/>
        <v>400</v>
      </c>
      <c r="N426" s="1">
        <f t="shared" si="428"/>
        <v>400</v>
      </c>
      <c r="O426" s="1"/>
      <c r="Q426" s="1">
        <f t="shared" si="430"/>
        <v>400</v>
      </c>
      <c r="T426" s="1">
        <f t="shared" si="432"/>
        <v>400</v>
      </c>
      <c r="U426" s="1">
        <f t="shared" si="432"/>
        <v>400</v>
      </c>
      <c r="V426" s="1">
        <f t="shared" si="433"/>
        <v>0</v>
      </c>
      <c r="W426" s="1">
        <f t="shared" si="434"/>
        <v>400</v>
      </c>
      <c r="X426" s="1">
        <v>200</v>
      </c>
      <c r="Y426" s="41">
        <f t="shared" ref="Y426:Y492" si="439">X426-W426</f>
        <v>-200</v>
      </c>
      <c r="Z426" s="1">
        <f t="shared" si="435"/>
        <v>200</v>
      </c>
      <c r="AA426" s="1">
        <v>400</v>
      </c>
      <c r="AB426" s="41">
        <f t="shared" si="436"/>
        <v>200</v>
      </c>
      <c r="AC426" s="1">
        <f t="shared" si="437"/>
        <v>400</v>
      </c>
      <c r="AD426" s="41">
        <v>400</v>
      </c>
      <c r="AE426" s="1">
        <f t="shared" si="426"/>
        <v>0</v>
      </c>
      <c r="AF426" s="1">
        <f t="shared" si="427"/>
        <v>400</v>
      </c>
    </row>
    <row r="427" spans="1:32" outlineLevel="2">
      <c r="A427" s="11">
        <v>33220</v>
      </c>
      <c r="B427" s="11">
        <v>48100</v>
      </c>
      <c r="C427" s="11" t="s">
        <v>938</v>
      </c>
      <c r="D427" s="7"/>
      <c r="E427" s="7"/>
      <c r="F427" s="7"/>
      <c r="G427" s="7"/>
      <c r="H427" s="7"/>
      <c r="I427" s="1"/>
      <c r="J427" s="1"/>
      <c r="K427" s="1"/>
      <c r="L427" s="1"/>
      <c r="N427" s="1"/>
      <c r="O427" s="1"/>
      <c r="T427" s="1"/>
      <c r="V427" s="1"/>
      <c r="W427" s="1"/>
      <c r="Y427" s="41"/>
      <c r="Z427" s="1"/>
      <c r="AB427" s="41"/>
      <c r="AC427" s="1">
        <v>0</v>
      </c>
      <c r="AD427" s="41">
        <v>3000</v>
      </c>
      <c r="AE427" s="1">
        <f t="shared" ref="AE427:AE428" si="440">AD427-AC427</f>
        <v>3000</v>
      </c>
      <c r="AF427" s="1">
        <f t="shared" ref="AF427:AF428" si="441">AC427+AE427</f>
        <v>3000</v>
      </c>
    </row>
    <row r="428" spans="1:32" outlineLevel="2">
      <c r="A428" s="11">
        <v>33220</v>
      </c>
      <c r="B428" s="11">
        <v>62300</v>
      </c>
      <c r="C428" s="39" t="s">
        <v>951</v>
      </c>
      <c r="D428" s="7"/>
      <c r="E428" s="7"/>
      <c r="F428" s="7"/>
      <c r="G428" s="7"/>
      <c r="H428" s="7"/>
      <c r="I428" s="1"/>
      <c r="J428" s="1"/>
      <c r="K428" s="1"/>
      <c r="L428" s="1"/>
      <c r="N428" s="1"/>
      <c r="O428" s="1"/>
      <c r="T428" s="1"/>
      <c r="V428" s="1"/>
      <c r="W428" s="1"/>
      <c r="Y428" s="41"/>
      <c r="Z428" s="1"/>
      <c r="AB428" s="41"/>
      <c r="AC428" s="1">
        <v>0</v>
      </c>
      <c r="AD428" s="41">
        <v>32150</v>
      </c>
      <c r="AE428" s="1">
        <f t="shared" si="440"/>
        <v>32150</v>
      </c>
      <c r="AF428" s="1">
        <f t="shared" si="441"/>
        <v>32150</v>
      </c>
    </row>
    <row r="429" spans="1:32" outlineLevel="2">
      <c r="A429" s="11">
        <v>33220</v>
      </c>
      <c r="B429" s="11">
        <v>62500</v>
      </c>
      <c r="C429" s="11" t="s">
        <v>923</v>
      </c>
      <c r="D429" s="7"/>
      <c r="E429" s="7"/>
      <c r="F429" s="7"/>
      <c r="G429" s="7"/>
      <c r="H429" s="7"/>
      <c r="I429" s="1"/>
      <c r="J429" s="1"/>
      <c r="K429" s="1"/>
      <c r="L429" s="1"/>
      <c r="N429" s="1"/>
      <c r="O429" s="1"/>
      <c r="T429" s="1"/>
      <c r="V429" s="1"/>
      <c r="W429" s="1"/>
      <c r="Y429" s="41"/>
      <c r="Z429" s="1"/>
      <c r="AB429" s="41"/>
      <c r="AC429" s="1">
        <v>0</v>
      </c>
      <c r="AD429" s="41">
        <v>30000</v>
      </c>
      <c r="AE429" s="1">
        <f t="shared" ref="AE429" si="442">AD429-AC429</f>
        <v>30000</v>
      </c>
      <c r="AF429" s="1">
        <f t="shared" ref="AF429" si="443">AC429+AE429</f>
        <v>30000</v>
      </c>
    </row>
    <row r="430" spans="1:32" outlineLevel="2">
      <c r="A430" s="9" t="s">
        <v>13</v>
      </c>
      <c r="B430" s="9"/>
      <c r="C430" s="9" t="s">
        <v>41</v>
      </c>
      <c r="D430" s="8">
        <f t="shared" ref="D430:Y430" si="444">SUBTOTAL(9,D411:D426)</f>
        <v>112257.59</v>
      </c>
      <c r="E430" s="8">
        <f t="shared" si="444"/>
        <v>112370.44</v>
      </c>
      <c r="F430" s="8">
        <f t="shared" si="444"/>
        <v>-112.8500000000131</v>
      </c>
      <c r="G430" s="8">
        <f t="shared" si="444"/>
        <v>61112.850000000013</v>
      </c>
      <c r="H430" s="8">
        <f t="shared" si="444"/>
        <v>173370.44</v>
      </c>
      <c r="I430" s="8">
        <f t="shared" si="444"/>
        <v>121154.34</v>
      </c>
      <c r="J430" s="8">
        <f t="shared" si="444"/>
        <v>52216.100000000006</v>
      </c>
      <c r="K430" s="8">
        <f t="shared" si="444"/>
        <v>8583.9</v>
      </c>
      <c r="L430" s="8">
        <f t="shared" si="444"/>
        <v>181954.34000000003</v>
      </c>
      <c r="M430" s="8">
        <f t="shared" si="444"/>
        <v>-3168.7400000000089</v>
      </c>
      <c r="N430" s="8">
        <f t="shared" si="444"/>
        <v>178785.6</v>
      </c>
      <c r="O430" s="8">
        <f t="shared" si="444"/>
        <v>139558.39999999999</v>
      </c>
      <c r="P430" s="8">
        <f t="shared" si="444"/>
        <v>1572.8000000000011</v>
      </c>
      <c r="Q430" s="8">
        <f t="shared" si="444"/>
        <v>180358.39999999999</v>
      </c>
      <c r="S430" s="8">
        <f t="shared" si="444"/>
        <v>1129.1099999999988</v>
      </c>
      <c r="T430" s="8">
        <f t="shared" si="444"/>
        <v>181487.51</v>
      </c>
      <c r="U430" s="8">
        <f t="shared" si="444"/>
        <v>206558.76</v>
      </c>
      <c r="V430" s="8">
        <f t="shared" si="444"/>
        <v>25071.250000000004</v>
      </c>
      <c r="W430" s="8">
        <f t="shared" si="444"/>
        <v>206558.76</v>
      </c>
      <c r="X430" s="8">
        <f t="shared" si="444"/>
        <v>197642.43</v>
      </c>
      <c r="Y430" s="8">
        <f t="shared" si="444"/>
        <v>-8916.33</v>
      </c>
      <c r="Z430" s="8">
        <f>SUBTOTAL(9,Z410:Z426)</f>
        <v>197642.43</v>
      </c>
      <c r="AA430" s="8">
        <f t="shared" ref="AA430:AB430" si="445">SUBTOTAL(9,AA410:AA426)</f>
        <v>233398.6</v>
      </c>
      <c r="AB430" s="8">
        <f t="shared" si="445"/>
        <v>35756.17</v>
      </c>
      <c r="AC430" s="8">
        <f>SUBTOTAL(9,AC410:AC429)</f>
        <v>233398.6</v>
      </c>
      <c r="AD430" s="8">
        <f t="shared" ref="AD430:AF430" si="446">SUBTOTAL(9,AD410:AD429)</f>
        <v>346905.82</v>
      </c>
      <c r="AE430" s="8">
        <f t="shared" si="446"/>
        <v>113507.22</v>
      </c>
      <c r="AF430" s="8">
        <f t="shared" si="446"/>
        <v>346905.82</v>
      </c>
    </row>
    <row r="431" spans="1:32" outlineLevel="2">
      <c r="A431" s="11">
        <v>33400</v>
      </c>
      <c r="B431" s="11">
        <v>12001</v>
      </c>
      <c r="C431" s="11" t="s">
        <v>598</v>
      </c>
      <c r="D431" s="7"/>
      <c r="E431" s="7"/>
      <c r="F431" s="7"/>
      <c r="G431" s="7"/>
      <c r="H431" s="7">
        <v>0</v>
      </c>
      <c r="I431" s="16">
        <v>12906.52</v>
      </c>
      <c r="J431" s="1">
        <f t="shared" ref="J431:J492" si="447">H431-I431</f>
        <v>-12906.52</v>
      </c>
      <c r="K431" s="1">
        <v>12906.52</v>
      </c>
      <c r="L431" s="1">
        <f t="shared" si="392"/>
        <v>12906.52</v>
      </c>
      <c r="M431" s="7">
        <v>0</v>
      </c>
      <c r="N431" s="1">
        <f t="shared" ref="N431:N465" si="448">L431+M431</f>
        <v>12906.52</v>
      </c>
      <c r="O431" s="1">
        <v>12906.52</v>
      </c>
      <c r="P431" s="1">
        <f t="shared" ref="P431:P441" si="449">O431-N431</f>
        <v>0</v>
      </c>
      <c r="Q431" s="1">
        <f t="shared" ref="Q431:Q465" si="450">N431+P431</f>
        <v>12906.52</v>
      </c>
      <c r="R431" s="1">
        <v>12906.52</v>
      </c>
      <c r="S431" s="1">
        <f t="shared" ref="S431:S441" si="451">R431-Q431</f>
        <v>0</v>
      </c>
      <c r="T431" s="1">
        <f t="shared" ref="T431:U465" si="452">Q431+S431</f>
        <v>12906.52</v>
      </c>
      <c r="U431" s="1">
        <v>12906.52</v>
      </c>
      <c r="V431" s="1">
        <f t="shared" ref="V431:V465" si="453">U431-T431</f>
        <v>0</v>
      </c>
      <c r="W431" s="1">
        <f t="shared" ref="W431:W465" si="454">T431+V431</f>
        <v>12906.52</v>
      </c>
      <c r="X431" s="1">
        <v>14334.32</v>
      </c>
      <c r="Y431" s="41">
        <f t="shared" si="439"/>
        <v>1427.7999999999993</v>
      </c>
      <c r="Z431" s="1">
        <f t="shared" ref="Z431:Z465" si="455">W431+Y431</f>
        <v>14334.32</v>
      </c>
      <c r="AA431" s="1">
        <v>13165.95</v>
      </c>
      <c r="AB431" s="1">
        <f>AA431-Z431</f>
        <v>-1168.369999999999</v>
      </c>
      <c r="AC431" s="1">
        <f t="shared" ref="AC431:AC467" si="456">Z431+AB431</f>
        <v>13165.95</v>
      </c>
      <c r="AD431" s="41">
        <v>13363.5</v>
      </c>
      <c r="AE431" s="1">
        <f t="shared" ref="AE431:AE467" si="457">AD431-AC431</f>
        <v>197.54999999999927</v>
      </c>
      <c r="AF431" s="1">
        <f t="shared" ref="AF431:AF467" si="458">AC431+AE431</f>
        <v>13363.5</v>
      </c>
    </row>
    <row r="432" spans="1:32" outlineLevel="2">
      <c r="A432" s="11">
        <v>33400</v>
      </c>
      <c r="B432" s="11">
        <v>12003</v>
      </c>
      <c r="C432" s="11" t="s">
        <v>159</v>
      </c>
      <c r="D432" s="7">
        <v>0</v>
      </c>
      <c r="E432" s="7">
        <v>12436.93</v>
      </c>
      <c r="F432" s="7">
        <f>D432-E432</f>
        <v>-12436.93</v>
      </c>
      <c r="G432" s="7">
        <v>12436.93</v>
      </c>
      <c r="H432" s="7">
        <f t="shared" ref="H432:H465" si="459">D432+G432</f>
        <v>12436.93</v>
      </c>
      <c r="I432" s="16">
        <v>9884.84</v>
      </c>
      <c r="J432" s="1">
        <f t="shared" si="447"/>
        <v>2552.09</v>
      </c>
      <c r="K432" s="16">
        <v>-2552.09</v>
      </c>
      <c r="L432" s="1">
        <f t="shared" si="392"/>
        <v>9884.84</v>
      </c>
      <c r="M432" s="7">
        <v>0</v>
      </c>
      <c r="N432" s="1">
        <f t="shared" si="448"/>
        <v>9884.84</v>
      </c>
      <c r="O432" s="1">
        <v>9884.84</v>
      </c>
      <c r="P432" s="1">
        <f t="shared" si="449"/>
        <v>0</v>
      </c>
      <c r="Q432" s="1">
        <f t="shared" si="450"/>
        <v>9884.84</v>
      </c>
      <c r="R432" s="1">
        <v>9884.84</v>
      </c>
      <c r="S432" s="1">
        <f t="shared" si="451"/>
        <v>0</v>
      </c>
      <c r="T432" s="1">
        <f t="shared" si="452"/>
        <v>9884.84</v>
      </c>
      <c r="U432" s="1">
        <v>9884.84</v>
      </c>
      <c r="V432" s="1">
        <f t="shared" si="453"/>
        <v>0</v>
      </c>
      <c r="W432" s="1">
        <f t="shared" si="454"/>
        <v>9884.84</v>
      </c>
      <c r="X432" s="1">
        <v>10827.93</v>
      </c>
      <c r="Y432" s="41">
        <f t="shared" si="439"/>
        <v>943.09000000000015</v>
      </c>
      <c r="Z432" s="1">
        <f t="shared" si="455"/>
        <v>10827.93</v>
      </c>
      <c r="AA432" s="1">
        <v>10083.65</v>
      </c>
      <c r="AB432" s="1">
        <f t="shared" ref="AB432:AB467" si="460">AA432-Z432</f>
        <v>-744.28000000000065</v>
      </c>
      <c r="AC432" s="1">
        <f t="shared" si="456"/>
        <v>10083.65</v>
      </c>
      <c r="AD432" s="41">
        <v>10235.01</v>
      </c>
      <c r="AE432" s="1">
        <f t="shared" si="457"/>
        <v>151.36000000000058</v>
      </c>
      <c r="AF432" s="1">
        <f t="shared" si="458"/>
        <v>10235.01</v>
      </c>
    </row>
    <row r="433" spans="1:32" outlineLevel="2">
      <c r="A433" s="11">
        <v>33400</v>
      </c>
      <c r="B433" s="11">
        <v>12004</v>
      </c>
      <c r="C433" s="11" t="s">
        <v>124</v>
      </c>
      <c r="D433" s="7">
        <v>0</v>
      </c>
      <c r="E433" s="7">
        <v>29908.240000000002</v>
      </c>
      <c r="F433" s="7">
        <f>D433-E433</f>
        <v>-29908.240000000002</v>
      </c>
      <c r="G433" s="7">
        <v>29908.240000000002</v>
      </c>
      <c r="H433" s="7">
        <f t="shared" si="459"/>
        <v>29908.240000000002</v>
      </c>
      <c r="I433" s="16">
        <v>8378.58</v>
      </c>
      <c r="J433" s="1">
        <f t="shared" si="447"/>
        <v>21529.660000000003</v>
      </c>
      <c r="K433" s="1">
        <v>-21529.66</v>
      </c>
      <c r="L433" s="1">
        <f t="shared" ref="L433:L465" si="461">H433+K433</f>
        <v>8378.5800000000017</v>
      </c>
      <c r="M433" s="7">
        <v>0</v>
      </c>
      <c r="N433" s="1">
        <f t="shared" si="448"/>
        <v>8378.5800000000017</v>
      </c>
      <c r="O433" s="1">
        <v>8378.58</v>
      </c>
      <c r="P433" s="1">
        <f t="shared" si="449"/>
        <v>0</v>
      </c>
      <c r="Q433" s="1">
        <f t="shared" si="450"/>
        <v>8378.5800000000017</v>
      </c>
      <c r="R433" s="1">
        <v>8378.58</v>
      </c>
      <c r="S433" s="1">
        <f t="shared" si="451"/>
        <v>0</v>
      </c>
      <c r="T433" s="1">
        <f t="shared" si="452"/>
        <v>8378.5800000000017</v>
      </c>
      <c r="U433" s="1">
        <v>8378.58</v>
      </c>
      <c r="V433" s="1">
        <f t="shared" si="453"/>
        <v>0</v>
      </c>
      <c r="W433" s="1">
        <f t="shared" si="454"/>
        <v>8378.5800000000017</v>
      </c>
      <c r="X433" s="1">
        <v>9206.9599999999991</v>
      </c>
      <c r="Y433" s="41">
        <f t="shared" si="439"/>
        <v>828.37999999999738</v>
      </c>
      <c r="Z433" s="1">
        <f t="shared" si="455"/>
        <v>9206.9599999999991</v>
      </c>
      <c r="AA433" s="1">
        <v>8547.08</v>
      </c>
      <c r="AB433" s="1">
        <f t="shared" si="460"/>
        <v>-659.8799999999992</v>
      </c>
      <c r="AC433" s="1">
        <f t="shared" si="456"/>
        <v>8547.08</v>
      </c>
      <c r="AD433" s="41">
        <v>8675.39</v>
      </c>
      <c r="AE433" s="1">
        <f t="shared" si="457"/>
        <v>128.30999999999949</v>
      </c>
      <c r="AF433" s="1">
        <f t="shared" si="458"/>
        <v>8675.39</v>
      </c>
    </row>
    <row r="434" spans="1:32" outlineLevel="2">
      <c r="A434" s="11">
        <v>33400</v>
      </c>
      <c r="B434" s="11">
        <v>12005</v>
      </c>
      <c r="C434" s="42" t="s">
        <v>682</v>
      </c>
      <c r="D434" s="7"/>
      <c r="E434" s="7"/>
      <c r="F434" s="7"/>
      <c r="G434" s="7"/>
      <c r="H434" s="7"/>
      <c r="I434" s="16"/>
      <c r="J434" s="1"/>
      <c r="K434" s="1"/>
      <c r="L434" s="1"/>
      <c r="N434" s="1"/>
      <c r="O434" s="1"/>
      <c r="Q434" s="1">
        <v>0</v>
      </c>
      <c r="R434" s="1">
        <v>7678.58</v>
      </c>
      <c r="S434" s="1">
        <f>R434-Q434</f>
        <v>7678.58</v>
      </c>
      <c r="T434" s="1">
        <f>Q434+S434</f>
        <v>7678.58</v>
      </c>
      <c r="U434" s="1">
        <v>15357.16</v>
      </c>
      <c r="V434" s="1">
        <f t="shared" si="453"/>
        <v>7678.58</v>
      </c>
      <c r="W434" s="1">
        <f t="shared" si="454"/>
        <v>15357.16</v>
      </c>
      <c r="X434" s="1">
        <v>15510.74</v>
      </c>
      <c r="Y434" s="41">
        <f t="shared" si="439"/>
        <v>153.57999999999993</v>
      </c>
      <c r="Z434" s="1">
        <f t="shared" si="455"/>
        <v>15510.74</v>
      </c>
      <c r="AA434" s="1">
        <v>7832.99</v>
      </c>
      <c r="AB434" s="1">
        <f t="shared" si="460"/>
        <v>-7677.75</v>
      </c>
      <c r="AC434" s="1">
        <f t="shared" si="456"/>
        <v>7832.99</v>
      </c>
      <c r="AD434" s="41">
        <v>0</v>
      </c>
      <c r="AE434" s="1">
        <f t="shared" si="457"/>
        <v>-7832.99</v>
      </c>
      <c r="AF434" s="1">
        <f t="shared" si="458"/>
        <v>0</v>
      </c>
    </row>
    <row r="435" spans="1:32" outlineLevel="2">
      <c r="A435" s="11">
        <v>33400</v>
      </c>
      <c r="B435" s="11">
        <v>12006</v>
      </c>
      <c r="C435" s="11" t="s">
        <v>81</v>
      </c>
      <c r="D435" s="7">
        <v>0</v>
      </c>
      <c r="E435" s="7">
        <v>11464.93</v>
      </c>
      <c r="F435" s="7">
        <f>D435-E435</f>
        <v>-11464.93</v>
      </c>
      <c r="G435" s="7">
        <v>11464.93</v>
      </c>
      <c r="H435" s="7">
        <f t="shared" si="459"/>
        <v>11464.93</v>
      </c>
      <c r="I435" s="16">
        <v>8011.36</v>
      </c>
      <c r="J435" s="1">
        <f t="shared" si="447"/>
        <v>3453.5700000000006</v>
      </c>
      <c r="K435" s="1">
        <v>-3453.57</v>
      </c>
      <c r="L435" s="1">
        <f t="shared" si="461"/>
        <v>8011.3600000000006</v>
      </c>
      <c r="M435" s="7">
        <f>7414.26-L435</f>
        <v>-597.10000000000036</v>
      </c>
      <c r="N435" s="1">
        <f t="shared" si="448"/>
        <v>7414.26</v>
      </c>
      <c r="O435" s="1">
        <v>7414.26</v>
      </c>
      <c r="P435" s="1">
        <f t="shared" si="449"/>
        <v>0</v>
      </c>
      <c r="Q435" s="1">
        <f t="shared" si="450"/>
        <v>7414.26</v>
      </c>
      <c r="R435" s="1">
        <v>8352.23</v>
      </c>
      <c r="S435" s="1">
        <f t="shared" si="451"/>
        <v>937.96999999999935</v>
      </c>
      <c r="T435" s="1">
        <f t="shared" si="452"/>
        <v>8352.23</v>
      </c>
      <c r="U435" s="1">
        <v>7018.9</v>
      </c>
      <c r="V435" s="1">
        <f t="shared" si="453"/>
        <v>-1333.33</v>
      </c>
      <c r="W435" s="1">
        <f t="shared" si="454"/>
        <v>7018.9</v>
      </c>
      <c r="X435" s="1">
        <v>7279.56</v>
      </c>
      <c r="Y435" s="41">
        <f t="shared" si="439"/>
        <v>260.66000000000076</v>
      </c>
      <c r="Z435" s="1">
        <f t="shared" si="455"/>
        <v>7279.56</v>
      </c>
      <c r="AA435" s="1">
        <v>7916.5</v>
      </c>
      <c r="AB435" s="1">
        <f t="shared" si="460"/>
        <v>636.9399999999996</v>
      </c>
      <c r="AC435" s="1">
        <f t="shared" si="456"/>
        <v>7916.5</v>
      </c>
      <c r="AD435" s="41">
        <v>8025.1</v>
      </c>
      <c r="AE435" s="1">
        <f t="shared" si="457"/>
        <v>108.60000000000036</v>
      </c>
      <c r="AF435" s="1">
        <f t="shared" si="458"/>
        <v>8025.1</v>
      </c>
    </row>
    <row r="436" spans="1:32" outlineLevel="2">
      <c r="A436" s="11">
        <v>33400</v>
      </c>
      <c r="B436" s="11">
        <v>12100</v>
      </c>
      <c r="C436" s="11" t="s">
        <v>125</v>
      </c>
      <c r="D436" s="7">
        <v>64864.38</v>
      </c>
      <c r="E436" s="7">
        <v>21933.48</v>
      </c>
      <c r="F436" s="7">
        <f>D436-E436</f>
        <v>42930.899999999994</v>
      </c>
      <c r="G436" s="7">
        <v>-42930.9</v>
      </c>
      <c r="H436" s="7">
        <f t="shared" si="459"/>
        <v>21933.479999999996</v>
      </c>
      <c r="I436" s="1">
        <v>18783.8</v>
      </c>
      <c r="J436" s="1">
        <f t="shared" si="447"/>
        <v>3149.6799999999967</v>
      </c>
      <c r="K436" s="1">
        <v>-3149.68</v>
      </c>
      <c r="L436" s="1">
        <f t="shared" si="461"/>
        <v>18783.799999999996</v>
      </c>
      <c r="M436" s="7">
        <v>0</v>
      </c>
      <c r="N436" s="1">
        <f t="shared" si="448"/>
        <v>18783.799999999996</v>
      </c>
      <c r="O436" s="1">
        <v>18783.8</v>
      </c>
      <c r="P436" s="1">
        <f t="shared" si="449"/>
        <v>0</v>
      </c>
      <c r="Q436" s="1">
        <f t="shared" si="450"/>
        <v>18783.799999999996</v>
      </c>
      <c r="R436" s="1">
        <v>22739.22</v>
      </c>
      <c r="S436" s="1">
        <f t="shared" si="451"/>
        <v>3955.4200000000055</v>
      </c>
      <c r="T436" s="1">
        <f t="shared" si="452"/>
        <v>22739.22</v>
      </c>
      <c r="U436" s="1">
        <v>26380.2</v>
      </c>
      <c r="V436" s="1">
        <f t="shared" si="453"/>
        <v>3640.9799999999996</v>
      </c>
      <c r="W436" s="1">
        <f t="shared" si="454"/>
        <v>26380.2</v>
      </c>
      <c r="X436" s="1">
        <v>26691.58</v>
      </c>
      <c r="Y436" s="41">
        <f t="shared" si="439"/>
        <v>311.38000000000102</v>
      </c>
      <c r="Z436" s="1">
        <f t="shared" si="455"/>
        <v>26691.58</v>
      </c>
      <c r="AA436" s="1">
        <v>23196.52</v>
      </c>
      <c r="AB436" s="1">
        <f t="shared" si="460"/>
        <v>-3495.0600000000013</v>
      </c>
      <c r="AC436" s="1">
        <f t="shared" si="456"/>
        <v>23196.52</v>
      </c>
      <c r="AD436" s="41">
        <v>19449.09</v>
      </c>
      <c r="AE436" s="1">
        <f t="shared" si="457"/>
        <v>-3747.4300000000003</v>
      </c>
      <c r="AF436" s="1">
        <f t="shared" si="458"/>
        <v>19449.09</v>
      </c>
    </row>
    <row r="437" spans="1:32" outlineLevel="2">
      <c r="A437" s="11">
        <v>33400</v>
      </c>
      <c r="B437" s="11">
        <v>12101</v>
      </c>
      <c r="C437" s="11" t="s">
        <v>126</v>
      </c>
      <c r="D437" s="7">
        <v>0</v>
      </c>
      <c r="E437" s="7">
        <v>31148.51</v>
      </c>
      <c r="F437" s="7">
        <f>D437-E437</f>
        <v>-31148.51</v>
      </c>
      <c r="G437" s="7">
        <v>31148.51</v>
      </c>
      <c r="H437" s="7">
        <f t="shared" si="459"/>
        <v>31148.51</v>
      </c>
      <c r="I437" s="1">
        <v>27405.84</v>
      </c>
      <c r="J437" s="1">
        <f t="shared" si="447"/>
        <v>3742.6699999999983</v>
      </c>
      <c r="K437" s="1">
        <v>-3742.67</v>
      </c>
      <c r="L437" s="1">
        <f t="shared" si="461"/>
        <v>27405.839999999997</v>
      </c>
      <c r="M437" s="7">
        <v>0</v>
      </c>
      <c r="N437" s="1">
        <f t="shared" si="448"/>
        <v>27405.839999999997</v>
      </c>
      <c r="O437" s="1">
        <v>27405.84</v>
      </c>
      <c r="P437" s="1">
        <f t="shared" si="449"/>
        <v>0</v>
      </c>
      <c r="Q437" s="1">
        <f t="shared" si="450"/>
        <v>27405.839999999997</v>
      </c>
      <c r="R437" s="1">
        <v>32547.200000000001</v>
      </c>
      <c r="S437" s="1">
        <f t="shared" si="451"/>
        <v>5141.3600000000042</v>
      </c>
      <c r="T437" s="1">
        <f t="shared" si="452"/>
        <v>32547.200000000001</v>
      </c>
      <c r="U437" s="1">
        <v>37364.04</v>
      </c>
      <c r="V437" s="1">
        <f t="shared" si="453"/>
        <v>4816.84</v>
      </c>
      <c r="W437" s="1">
        <f t="shared" si="454"/>
        <v>37364.04</v>
      </c>
      <c r="X437" s="1">
        <v>38065.440000000002</v>
      </c>
      <c r="Y437" s="41">
        <f t="shared" si="439"/>
        <v>701.40000000000146</v>
      </c>
      <c r="Z437" s="1">
        <f t="shared" si="455"/>
        <v>38065.440000000002</v>
      </c>
      <c r="AA437" s="1">
        <v>33201.279999999999</v>
      </c>
      <c r="AB437" s="1">
        <f t="shared" si="460"/>
        <v>-4864.1600000000035</v>
      </c>
      <c r="AC437" s="1">
        <f t="shared" si="456"/>
        <v>33201.279999999999</v>
      </c>
      <c r="AD437" s="41">
        <v>28376.1</v>
      </c>
      <c r="AE437" s="1">
        <f t="shared" si="457"/>
        <v>-4825.18</v>
      </c>
      <c r="AF437" s="1">
        <f t="shared" si="458"/>
        <v>28376.1</v>
      </c>
    </row>
    <row r="438" spans="1:32" outlineLevel="2">
      <c r="A438" s="11">
        <v>33400</v>
      </c>
      <c r="B438" s="11">
        <v>13000</v>
      </c>
      <c r="C438" s="11" t="s">
        <v>128</v>
      </c>
      <c r="D438" s="7">
        <v>41498.25</v>
      </c>
      <c r="E438" s="7">
        <v>42619.71</v>
      </c>
      <c r="F438" s="7">
        <f t="shared" si="416"/>
        <v>-1121.4599999999991</v>
      </c>
      <c r="G438" s="7">
        <v>1121.46</v>
      </c>
      <c r="H438" s="7">
        <f t="shared" si="459"/>
        <v>42619.71</v>
      </c>
      <c r="I438" s="1">
        <v>27210.12</v>
      </c>
      <c r="J438" s="1">
        <f t="shared" si="447"/>
        <v>15409.59</v>
      </c>
      <c r="K438" s="1">
        <v>-15409.59</v>
      </c>
      <c r="L438" s="1">
        <f t="shared" si="461"/>
        <v>27210.12</v>
      </c>
      <c r="M438" s="7">
        <f>25298.7-L438</f>
        <v>-1911.4199999999983</v>
      </c>
      <c r="N438" s="1">
        <f t="shared" si="448"/>
        <v>25298.7</v>
      </c>
      <c r="O438" s="1">
        <v>25298.7</v>
      </c>
      <c r="P438" s="1">
        <f t="shared" si="449"/>
        <v>0</v>
      </c>
      <c r="Q438" s="1">
        <f t="shared" si="450"/>
        <v>25298.7</v>
      </c>
      <c r="R438" s="1">
        <v>17552.77</v>
      </c>
      <c r="S438" s="1">
        <f t="shared" si="451"/>
        <v>-7745.93</v>
      </c>
      <c r="T438" s="1">
        <f t="shared" si="452"/>
        <v>17552.77</v>
      </c>
      <c r="U438" s="1">
        <v>9564.3799999999992</v>
      </c>
      <c r="V438" s="1">
        <f t="shared" si="453"/>
        <v>-7988.3900000000012</v>
      </c>
      <c r="W438" s="1">
        <f t="shared" si="454"/>
        <v>9564.3799999999992</v>
      </c>
      <c r="X438" s="1">
        <v>11776.65</v>
      </c>
      <c r="Y438" s="41">
        <f t="shared" si="439"/>
        <v>2212.2700000000004</v>
      </c>
      <c r="Z438" s="1">
        <f t="shared" si="455"/>
        <v>11776.65</v>
      </c>
      <c r="AA438" s="1">
        <v>0</v>
      </c>
      <c r="AB438" s="1">
        <f t="shared" si="460"/>
        <v>-11776.65</v>
      </c>
      <c r="AC438" s="1">
        <f t="shared" si="456"/>
        <v>0</v>
      </c>
      <c r="AD438" s="41">
        <v>0</v>
      </c>
      <c r="AE438" s="1">
        <f t="shared" si="457"/>
        <v>0</v>
      </c>
      <c r="AF438" s="1">
        <f t="shared" si="458"/>
        <v>0</v>
      </c>
    </row>
    <row r="439" spans="1:32" outlineLevel="2">
      <c r="A439" s="11">
        <v>33400</v>
      </c>
      <c r="B439" s="11">
        <v>13002</v>
      </c>
      <c r="C439" s="11" t="s">
        <v>127</v>
      </c>
      <c r="D439" s="7">
        <v>0</v>
      </c>
      <c r="E439" s="7">
        <v>33208.639999999999</v>
      </c>
      <c r="F439" s="7">
        <f t="shared" si="416"/>
        <v>-33208.639999999999</v>
      </c>
      <c r="G439" s="7">
        <v>33208.639999999999</v>
      </c>
      <c r="H439" s="7">
        <f t="shared" si="459"/>
        <v>33208.639999999999</v>
      </c>
      <c r="I439" s="1">
        <v>27799.1</v>
      </c>
      <c r="J439" s="1">
        <f t="shared" si="447"/>
        <v>5409.5400000000009</v>
      </c>
      <c r="K439" s="1">
        <v>-5409.54</v>
      </c>
      <c r="L439" s="1">
        <f t="shared" si="461"/>
        <v>27799.1</v>
      </c>
      <c r="M439" s="7">
        <v>0</v>
      </c>
      <c r="N439" s="1">
        <f t="shared" si="448"/>
        <v>27799.1</v>
      </c>
      <c r="O439" s="1">
        <v>27799.1</v>
      </c>
      <c r="P439" s="1">
        <f t="shared" si="449"/>
        <v>0</v>
      </c>
      <c r="Q439" s="1">
        <f t="shared" si="450"/>
        <v>27799.1</v>
      </c>
      <c r="R439" s="1">
        <v>18702.32</v>
      </c>
      <c r="S439" s="1">
        <f t="shared" si="451"/>
        <v>-9096.7799999999988</v>
      </c>
      <c r="T439" s="1">
        <f t="shared" si="452"/>
        <v>18702.32</v>
      </c>
      <c r="U439" s="1">
        <v>9605.5400000000009</v>
      </c>
      <c r="V439" s="1">
        <f t="shared" si="453"/>
        <v>-9096.7799999999988</v>
      </c>
      <c r="W439" s="1">
        <f t="shared" si="454"/>
        <v>9605.5400000000009</v>
      </c>
      <c r="X439" s="1">
        <v>9701.59</v>
      </c>
      <c r="Y439" s="41">
        <f t="shared" si="439"/>
        <v>96.049999999999272</v>
      </c>
      <c r="Z439" s="1">
        <f t="shared" si="455"/>
        <v>9701.59</v>
      </c>
      <c r="AA439" s="1">
        <v>0</v>
      </c>
      <c r="AB439" s="1">
        <f t="shared" si="460"/>
        <v>-9701.59</v>
      </c>
      <c r="AC439" s="1">
        <f t="shared" si="456"/>
        <v>0</v>
      </c>
      <c r="AD439" s="41">
        <v>0</v>
      </c>
      <c r="AE439" s="1">
        <f t="shared" si="457"/>
        <v>0</v>
      </c>
      <c r="AF439" s="1">
        <f t="shared" si="458"/>
        <v>0</v>
      </c>
    </row>
    <row r="440" spans="1:32" outlineLevel="2">
      <c r="A440" s="11">
        <v>33400</v>
      </c>
      <c r="B440" s="11">
        <v>15000</v>
      </c>
      <c r="C440" s="11" t="s">
        <v>387</v>
      </c>
      <c r="D440" s="7"/>
      <c r="E440" s="7"/>
      <c r="F440" s="7"/>
      <c r="G440" s="7"/>
      <c r="H440" s="7"/>
      <c r="I440" s="1"/>
      <c r="J440" s="1"/>
      <c r="K440" s="1"/>
      <c r="L440" s="1"/>
      <c r="N440" s="1">
        <v>0</v>
      </c>
      <c r="O440" s="1">
        <v>200</v>
      </c>
      <c r="P440" s="1">
        <f>O440-N440</f>
        <v>200</v>
      </c>
      <c r="Q440" s="1">
        <f t="shared" si="450"/>
        <v>200</v>
      </c>
      <c r="R440" s="1">
        <v>1000</v>
      </c>
      <c r="S440" s="1">
        <f t="shared" si="451"/>
        <v>800</v>
      </c>
      <c r="T440" s="1">
        <f t="shared" si="452"/>
        <v>1000</v>
      </c>
      <c r="U440" s="1">
        <v>1000</v>
      </c>
      <c r="V440" s="1">
        <f t="shared" si="453"/>
        <v>0</v>
      </c>
      <c r="W440" s="1">
        <f t="shared" si="454"/>
        <v>1000</v>
      </c>
      <c r="X440" s="1">
        <v>1500</v>
      </c>
      <c r="Y440" s="41">
        <f t="shared" si="439"/>
        <v>500</v>
      </c>
      <c r="Z440" s="1">
        <f t="shared" si="455"/>
        <v>1500</v>
      </c>
      <c r="AA440" s="1">
        <v>3100</v>
      </c>
      <c r="AB440" s="1">
        <f t="shared" si="460"/>
        <v>1600</v>
      </c>
      <c r="AC440" s="1">
        <f t="shared" si="456"/>
        <v>3100</v>
      </c>
      <c r="AD440" s="41">
        <v>2500</v>
      </c>
      <c r="AE440" s="1">
        <f t="shared" si="457"/>
        <v>-600</v>
      </c>
      <c r="AF440" s="1">
        <f t="shared" si="458"/>
        <v>2500</v>
      </c>
    </row>
    <row r="441" spans="1:32" outlineLevel="2">
      <c r="A441" s="11">
        <v>33400</v>
      </c>
      <c r="B441" s="19">
        <v>15100</v>
      </c>
      <c r="C441" s="19" t="s">
        <v>420</v>
      </c>
      <c r="D441" s="20">
        <v>5500</v>
      </c>
      <c r="E441" s="20">
        <v>2000</v>
      </c>
      <c r="F441" s="20">
        <f t="shared" si="416"/>
        <v>3500</v>
      </c>
      <c r="G441" s="20">
        <v>-3500</v>
      </c>
      <c r="H441" s="20">
        <f t="shared" si="459"/>
        <v>2000</v>
      </c>
      <c r="I441" s="21">
        <v>2000</v>
      </c>
      <c r="J441" s="21">
        <f t="shared" si="447"/>
        <v>0</v>
      </c>
      <c r="K441" s="21">
        <v>0</v>
      </c>
      <c r="L441" s="21">
        <f t="shared" si="461"/>
        <v>2000</v>
      </c>
      <c r="M441" s="7">
        <v>-1000</v>
      </c>
      <c r="N441" s="1">
        <f t="shared" si="448"/>
        <v>1000</v>
      </c>
      <c r="O441" s="1"/>
      <c r="P441" s="1">
        <f t="shared" si="449"/>
        <v>-1000</v>
      </c>
      <c r="Q441" s="1">
        <f t="shared" si="450"/>
        <v>0</v>
      </c>
      <c r="S441" s="1">
        <f t="shared" si="451"/>
        <v>0</v>
      </c>
      <c r="T441" s="1">
        <f t="shared" si="452"/>
        <v>0</v>
      </c>
      <c r="V441" s="1">
        <f t="shared" si="453"/>
        <v>0</v>
      </c>
      <c r="W441" s="1">
        <f t="shared" si="454"/>
        <v>0</v>
      </c>
      <c r="X441" s="1">
        <v>0</v>
      </c>
      <c r="Y441" s="41">
        <f t="shared" si="439"/>
        <v>0</v>
      </c>
      <c r="Z441" s="1">
        <f t="shared" si="455"/>
        <v>0</v>
      </c>
      <c r="AA441" s="1">
        <v>0</v>
      </c>
      <c r="AB441" s="1">
        <f t="shared" si="460"/>
        <v>0</v>
      </c>
      <c r="AC441" s="1">
        <f t="shared" si="456"/>
        <v>0</v>
      </c>
      <c r="AD441" s="41">
        <v>0</v>
      </c>
      <c r="AE441" s="1">
        <f t="shared" si="457"/>
        <v>0</v>
      </c>
      <c r="AF441" s="1">
        <f t="shared" si="458"/>
        <v>0</v>
      </c>
    </row>
    <row r="442" spans="1:32" outlineLevel="2">
      <c r="A442" s="11">
        <v>33400</v>
      </c>
      <c r="B442" s="60">
        <v>16000</v>
      </c>
      <c r="C442" s="56" t="s">
        <v>803</v>
      </c>
      <c r="D442" s="62"/>
      <c r="E442" s="64"/>
      <c r="F442" s="62"/>
      <c r="G442" s="64"/>
      <c r="H442" s="62"/>
      <c r="I442" s="64"/>
      <c r="J442" s="62"/>
      <c r="K442" s="64"/>
      <c r="L442" s="62"/>
      <c r="M442" s="63"/>
      <c r="N442" s="53"/>
      <c r="O442" s="53"/>
      <c r="P442" s="53"/>
      <c r="Q442" s="53"/>
      <c r="R442" s="58"/>
      <c r="S442" s="53"/>
      <c r="T442" s="53">
        <f t="shared" si="452"/>
        <v>0</v>
      </c>
      <c r="U442" s="63"/>
      <c r="V442" s="53">
        <f t="shared" si="453"/>
        <v>0</v>
      </c>
      <c r="W442" s="53">
        <f t="shared" si="454"/>
        <v>0</v>
      </c>
      <c r="X442" s="1">
        <v>0</v>
      </c>
      <c r="Y442" s="41">
        <f t="shared" si="439"/>
        <v>0</v>
      </c>
      <c r="Z442" s="1">
        <f t="shared" si="455"/>
        <v>0</v>
      </c>
      <c r="AA442" s="1">
        <v>0</v>
      </c>
      <c r="AB442" s="1">
        <f t="shared" si="460"/>
        <v>0</v>
      </c>
      <c r="AC442" s="1">
        <f t="shared" si="456"/>
        <v>0</v>
      </c>
      <c r="AD442" s="41">
        <v>21924.75</v>
      </c>
      <c r="AE442" s="1">
        <f t="shared" si="457"/>
        <v>21924.75</v>
      </c>
      <c r="AF442" s="1">
        <f t="shared" si="458"/>
        <v>21924.75</v>
      </c>
    </row>
    <row r="443" spans="1:32" outlineLevel="2">
      <c r="A443" s="11">
        <v>33400</v>
      </c>
      <c r="B443" s="19">
        <v>20300</v>
      </c>
      <c r="C443" s="48" t="s">
        <v>739</v>
      </c>
      <c r="D443" s="20"/>
      <c r="E443" s="20"/>
      <c r="F443" s="20"/>
      <c r="G443" s="20"/>
      <c r="H443" s="20"/>
      <c r="I443" s="21"/>
      <c r="J443" s="21"/>
      <c r="K443" s="21"/>
      <c r="L443" s="21"/>
      <c r="N443" s="1"/>
      <c r="O443" s="1"/>
      <c r="T443" s="1">
        <v>0</v>
      </c>
      <c r="U443" s="1">
        <v>50000</v>
      </c>
      <c r="V443" s="1">
        <f t="shared" ref="V443" si="462">U443-T443</f>
        <v>50000</v>
      </c>
      <c r="W443" s="1">
        <f t="shared" ref="W443" si="463">T443+V443</f>
        <v>50000</v>
      </c>
      <c r="X443" s="1">
        <v>50000</v>
      </c>
      <c r="Y443" s="41">
        <f t="shared" si="439"/>
        <v>0</v>
      </c>
      <c r="Z443" s="1">
        <f t="shared" si="455"/>
        <v>50000</v>
      </c>
      <c r="AA443" s="1">
        <v>45100</v>
      </c>
      <c r="AB443" s="1">
        <f t="shared" si="460"/>
        <v>-4900</v>
      </c>
      <c r="AC443" s="1">
        <f t="shared" si="456"/>
        <v>45100</v>
      </c>
      <c r="AD443" s="41">
        <v>45000</v>
      </c>
      <c r="AE443" s="1">
        <f t="shared" si="457"/>
        <v>-100</v>
      </c>
      <c r="AF443" s="1">
        <f t="shared" si="458"/>
        <v>45000</v>
      </c>
    </row>
    <row r="444" spans="1:32" outlineLevel="2">
      <c r="A444" s="11">
        <v>33400</v>
      </c>
      <c r="B444" s="11">
        <v>21200</v>
      </c>
      <c r="C444" s="42" t="s">
        <v>683</v>
      </c>
      <c r="D444" s="7">
        <v>60000</v>
      </c>
      <c r="E444" s="7"/>
      <c r="F444" s="7">
        <f t="shared" si="416"/>
        <v>60000</v>
      </c>
      <c r="G444" s="7">
        <v>-20000</v>
      </c>
      <c r="H444" s="7">
        <f t="shared" si="459"/>
        <v>40000</v>
      </c>
      <c r="I444" s="1"/>
      <c r="J444" s="1">
        <f t="shared" si="447"/>
        <v>40000</v>
      </c>
      <c r="K444" s="1"/>
      <c r="L444" s="1">
        <f t="shared" si="461"/>
        <v>40000</v>
      </c>
      <c r="M444" s="7">
        <v>-15000</v>
      </c>
      <c r="N444" s="1">
        <f t="shared" si="448"/>
        <v>25000</v>
      </c>
      <c r="O444" s="1"/>
      <c r="Q444" s="1">
        <f t="shared" si="450"/>
        <v>25000</v>
      </c>
      <c r="T444" s="1">
        <f t="shared" si="452"/>
        <v>25000</v>
      </c>
      <c r="U444" s="1">
        <f t="shared" si="452"/>
        <v>25000</v>
      </c>
      <c r="V444" s="1">
        <f t="shared" si="453"/>
        <v>0</v>
      </c>
      <c r="W444" s="1">
        <f t="shared" si="454"/>
        <v>25000</v>
      </c>
      <c r="X444" s="1">
        <v>30000</v>
      </c>
      <c r="Y444" s="41">
        <f t="shared" si="439"/>
        <v>5000</v>
      </c>
      <c r="Z444" s="1">
        <f t="shared" si="455"/>
        <v>30000</v>
      </c>
      <c r="AA444" s="1">
        <v>50000</v>
      </c>
      <c r="AB444" s="1">
        <f t="shared" si="460"/>
        <v>20000</v>
      </c>
      <c r="AC444" s="1">
        <f t="shared" si="456"/>
        <v>50000</v>
      </c>
      <c r="AD444" s="41">
        <v>30000</v>
      </c>
      <c r="AE444" s="1">
        <f t="shared" si="457"/>
        <v>-20000</v>
      </c>
      <c r="AF444" s="1">
        <f t="shared" si="458"/>
        <v>30000</v>
      </c>
    </row>
    <row r="445" spans="1:32" outlineLevel="2">
      <c r="A445" s="11">
        <v>33400</v>
      </c>
      <c r="B445" s="11">
        <v>21300</v>
      </c>
      <c r="C445" s="11" t="s">
        <v>421</v>
      </c>
      <c r="D445" s="7">
        <v>4000</v>
      </c>
      <c r="E445" s="7"/>
      <c r="F445" s="7">
        <f t="shared" si="416"/>
        <v>4000</v>
      </c>
      <c r="G445" s="7"/>
      <c r="H445" s="7">
        <f t="shared" si="459"/>
        <v>4000</v>
      </c>
      <c r="I445" s="1"/>
      <c r="J445" s="1">
        <f t="shared" si="447"/>
        <v>4000</v>
      </c>
      <c r="K445" s="1"/>
      <c r="L445" s="1">
        <f t="shared" si="461"/>
        <v>4000</v>
      </c>
      <c r="N445" s="1">
        <f t="shared" si="448"/>
        <v>4000</v>
      </c>
      <c r="O445" s="1"/>
      <c r="Q445" s="1">
        <f t="shared" si="450"/>
        <v>4000</v>
      </c>
      <c r="T445" s="1">
        <f t="shared" si="452"/>
        <v>4000</v>
      </c>
      <c r="U445" s="1">
        <f t="shared" si="452"/>
        <v>4000</v>
      </c>
      <c r="V445" s="1">
        <f t="shared" si="453"/>
        <v>0</v>
      </c>
      <c r="W445" s="1">
        <f t="shared" si="454"/>
        <v>4000</v>
      </c>
      <c r="X445" s="1">
        <v>3000</v>
      </c>
      <c r="Y445" s="41">
        <f t="shared" si="439"/>
        <v>-1000</v>
      </c>
      <c r="Z445" s="1">
        <f t="shared" si="455"/>
        <v>3000</v>
      </c>
      <c r="AA445" s="1">
        <v>20000</v>
      </c>
      <c r="AB445" s="1">
        <f t="shared" si="460"/>
        <v>17000</v>
      </c>
      <c r="AC445" s="1">
        <f t="shared" si="456"/>
        <v>20000</v>
      </c>
      <c r="AD445" s="41">
        <v>10000</v>
      </c>
      <c r="AE445" s="1">
        <f t="shared" si="457"/>
        <v>-10000</v>
      </c>
      <c r="AF445" s="1">
        <f t="shared" si="458"/>
        <v>10000</v>
      </c>
    </row>
    <row r="446" spans="1:32" outlineLevel="2">
      <c r="A446" s="11">
        <v>33400</v>
      </c>
      <c r="B446" s="11">
        <v>22000</v>
      </c>
      <c r="C446" s="11" t="s">
        <v>422</v>
      </c>
      <c r="D446" s="7">
        <v>1600</v>
      </c>
      <c r="E446" s="7"/>
      <c r="F446" s="7">
        <f t="shared" si="416"/>
        <v>1600</v>
      </c>
      <c r="G446" s="7"/>
      <c r="H446" s="7">
        <f t="shared" si="459"/>
        <v>1600</v>
      </c>
      <c r="I446" s="1"/>
      <c r="J446" s="1">
        <f t="shared" si="447"/>
        <v>1600</v>
      </c>
      <c r="K446" s="1"/>
      <c r="L446" s="1">
        <f t="shared" si="461"/>
        <v>1600</v>
      </c>
      <c r="N446" s="1">
        <f t="shared" si="448"/>
        <v>1600</v>
      </c>
      <c r="O446" s="1"/>
      <c r="Q446" s="1">
        <f t="shared" si="450"/>
        <v>1600</v>
      </c>
      <c r="T446" s="1">
        <f t="shared" si="452"/>
        <v>1600</v>
      </c>
      <c r="U446" s="1">
        <f t="shared" si="452"/>
        <v>1600</v>
      </c>
      <c r="V446" s="1">
        <f t="shared" si="453"/>
        <v>0</v>
      </c>
      <c r="W446" s="1">
        <f t="shared" si="454"/>
        <v>1600</v>
      </c>
      <c r="X446" s="1">
        <v>1200</v>
      </c>
      <c r="Y446" s="41">
        <f t="shared" si="439"/>
        <v>-400</v>
      </c>
      <c r="Z446" s="1">
        <f t="shared" si="455"/>
        <v>1200</v>
      </c>
      <c r="AA446" s="1">
        <v>1000</v>
      </c>
      <c r="AB446" s="1">
        <f t="shared" si="460"/>
        <v>-200</v>
      </c>
      <c r="AC446" s="1">
        <f t="shared" si="456"/>
        <v>1000</v>
      </c>
      <c r="AD446" s="41">
        <v>1000</v>
      </c>
      <c r="AE446" s="1">
        <f t="shared" si="457"/>
        <v>0</v>
      </c>
      <c r="AF446" s="1">
        <f t="shared" si="458"/>
        <v>1000</v>
      </c>
    </row>
    <row r="447" spans="1:32" outlineLevel="2">
      <c r="A447" s="11">
        <v>33400</v>
      </c>
      <c r="B447" s="11">
        <v>22001</v>
      </c>
      <c r="C447" s="11" t="s">
        <v>424</v>
      </c>
      <c r="D447" s="7">
        <v>2400</v>
      </c>
      <c r="E447" s="7"/>
      <c r="F447" s="7">
        <f t="shared" si="416"/>
        <v>2400</v>
      </c>
      <c r="G447" s="7"/>
      <c r="H447" s="7">
        <f t="shared" si="459"/>
        <v>2400</v>
      </c>
      <c r="I447" s="1"/>
      <c r="J447" s="1">
        <f t="shared" si="447"/>
        <v>2400</v>
      </c>
      <c r="K447" s="1"/>
      <c r="L447" s="1">
        <f t="shared" si="461"/>
        <v>2400</v>
      </c>
      <c r="N447" s="1">
        <f t="shared" si="448"/>
        <v>2400</v>
      </c>
      <c r="O447" s="1"/>
      <c r="Q447" s="1">
        <f t="shared" si="450"/>
        <v>2400</v>
      </c>
      <c r="T447" s="1">
        <f t="shared" si="452"/>
        <v>2400</v>
      </c>
      <c r="U447" s="1">
        <f t="shared" si="452"/>
        <v>2400</v>
      </c>
      <c r="V447" s="1">
        <f t="shared" si="453"/>
        <v>0</v>
      </c>
      <c r="W447" s="1">
        <f t="shared" si="454"/>
        <v>2400</v>
      </c>
      <c r="X447" s="1">
        <v>0</v>
      </c>
      <c r="Y447" s="41">
        <f t="shared" si="439"/>
        <v>-2400</v>
      </c>
      <c r="Z447" s="1">
        <f t="shared" si="455"/>
        <v>0</v>
      </c>
      <c r="AA447" s="1">
        <v>3000</v>
      </c>
      <c r="AB447" s="1">
        <f t="shared" si="460"/>
        <v>3000</v>
      </c>
      <c r="AC447" s="1">
        <f t="shared" si="456"/>
        <v>3000</v>
      </c>
      <c r="AD447" s="41">
        <v>3100</v>
      </c>
      <c r="AE447" s="1">
        <f t="shared" si="457"/>
        <v>100</v>
      </c>
      <c r="AF447" s="1">
        <f t="shared" si="458"/>
        <v>3100</v>
      </c>
    </row>
    <row r="448" spans="1:32" outlineLevel="2">
      <c r="A448" s="11">
        <v>33400</v>
      </c>
      <c r="B448" s="11">
        <v>22101</v>
      </c>
      <c r="C448" s="39" t="s">
        <v>248</v>
      </c>
      <c r="D448" s="7"/>
      <c r="E448" s="7"/>
      <c r="F448" s="7"/>
      <c r="G448" s="7"/>
      <c r="H448" s="7"/>
      <c r="I448" s="1"/>
      <c r="J448" s="1"/>
      <c r="K448" s="1"/>
      <c r="L448" s="1"/>
      <c r="N448" s="1"/>
      <c r="O448" s="1"/>
      <c r="T448" s="1"/>
      <c r="V448" s="1"/>
      <c r="W448" s="1"/>
      <c r="Y448" s="41"/>
      <c r="Z448" s="1">
        <v>0</v>
      </c>
      <c r="AA448" s="1">
        <v>500</v>
      </c>
      <c r="AB448" s="1">
        <f t="shared" si="460"/>
        <v>500</v>
      </c>
      <c r="AC448" s="1">
        <f t="shared" si="456"/>
        <v>500</v>
      </c>
      <c r="AD448" s="41">
        <v>500</v>
      </c>
      <c r="AE448" s="1">
        <f t="shared" si="457"/>
        <v>0</v>
      </c>
      <c r="AF448" s="1">
        <f t="shared" si="458"/>
        <v>500</v>
      </c>
    </row>
    <row r="449" spans="1:32" outlineLevel="2">
      <c r="A449" s="11">
        <v>33400</v>
      </c>
      <c r="B449" s="11">
        <v>22103</v>
      </c>
      <c r="C449" s="11" t="s">
        <v>425</v>
      </c>
      <c r="D449" s="7">
        <v>160</v>
      </c>
      <c r="E449" s="7"/>
      <c r="F449" s="7">
        <f t="shared" si="416"/>
        <v>160</v>
      </c>
      <c r="G449" s="7"/>
      <c r="H449" s="7">
        <f t="shared" si="459"/>
        <v>160</v>
      </c>
      <c r="I449" s="1"/>
      <c r="J449" s="1">
        <f t="shared" si="447"/>
        <v>160</v>
      </c>
      <c r="K449" s="1"/>
      <c r="L449" s="1">
        <f t="shared" si="461"/>
        <v>160</v>
      </c>
      <c r="N449" s="1">
        <f t="shared" si="448"/>
        <v>160</v>
      </c>
      <c r="O449" s="1"/>
      <c r="Q449" s="1">
        <f t="shared" si="450"/>
        <v>160</v>
      </c>
      <c r="T449" s="1">
        <f t="shared" si="452"/>
        <v>160</v>
      </c>
      <c r="U449" s="1">
        <f t="shared" si="452"/>
        <v>160</v>
      </c>
      <c r="V449" s="1">
        <f t="shared" si="453"/>
        <v>0</v>
      </c>
      <c r="W449" s="1">
        <f t="shared" si="454"/>
        <v>160</v>
      </c>
      <c r="X449" s="1">
        <v>160</v>
      </c>
      <c r="Y449" s="41">
        <f t="shared" si="439"/>
        <v>0</v>
      </c>
      <c r="Z449" s="1">
        <f t="shared" si="455"/>
        <v>160</v>
      </c>
      <c r="AA449" s="1">
        <v>160</v>
      </c>
      <c r="AB449" s="1">
        <f t="shared" si="460"/>
        <v>0</v>
      </c>
      <c r="AC449" s="1">
        <f t="shared" si="456"/>
        <v>160</v>
      </c>
      <c r="AD449" s="41">
        <v>160</v>
      </c>
      <c r="AE449" s="1">
        <f t="shared" si="457"/>
        <v>0</v>
      </c>
      <c r="AF449" s="1">
        <f t="shared" si="458"/>
        <v>160</v>
      </c>
    </row>
    <row r="450" spans="1:32" outlineLevel="2">
      <c r="A450" s="11">
        <v>33400</v>
      </c>
      <c r="B450" s="11">
        <v>22110</v>
      </c>
      <c r="C450" s="39" t="s">
        <v>828</v>
      </c>
      <c r="D450" s="7"/>
      <c r="E450" s="7"/>
      <c r="F450" s="7"/>
      <c r="G450" s="7"/>
      <c r="H450" s="7"/>
      <c r="I450" s="1"/>
      <c r="J450" s="1"/>
      <c r="K450" s="1"/>
      <c r="L450" s="1"/>
      <c r="N450" s="1"/>
      <c r="O450" s="1"/>
      <c r="T450" s="1"/>
      <c r="V450" s="1"/>
      <c r="W450" s="1"/>
      <c r="Y450" s="41"/>
      <c r="Z450" s="1">
        <v>0</v>
      </c>
      <c r="AA450" s="1">
        <v>500</v>
      </c>
      <c r="AB450" s="1">
        <f t="shared" ref="AB450" si="464">AA450-Z450</f>
        <v>500</v>
      </c>
      <c r="AC450" s="1">
        <f t="shared" ref="AC450" si="465">Z450+AB450</f>
        <v>500</v>
      </c>
      <c r="AD450" s="41">
        <v>500</v>
      </c>
      <c r="AE450" s="1">
        <f t="shared" si="457"/>
        <v>0</v>
      </c>
      <c r="AF450" s="1">
        <f t="shared" si="458"/>
        <v>500</v>
      </c>
    </row>
    <row r="451" spans="1:32" outlineLevel="2">
      <c r="A451" s="11">
        <v>33400</v>
      </c>
      <c r="B451" s="11">
        <v>22199</v>
      </c>
      <c r="C451" s="11" t="s">
        <v>232</v>
      </c>
      <c r="D451" s="7">
        <v>4806.4799999999996</v>
      </c>
      <c r="E451" s="7"/>
      <c r="F451" s="7">
        <f t="shared" si="416"/>
        <v>4806.4799999999996</v>
      </c>
      <c r="G451" s="7">
        <v>-1806.48</v>
      </c>
      <c r="H451" s="7">
        <f t="shared" si="459"/>
        <v>2999.9999999999995</v>
      </c>
      <c r="I451" s="1"/>
      <c r="J451" s="1">
        <f t="shared" si="447"/>
        <v>2999.9999999999995</v>
      </c>
      <c r="K451" s="1"/>
      <c r="L451" s="1">
        <f t="shared" si="461"/>
        <v>2999.9999999999995</v>
      </c>
      <c r="N451" s="1">
        <f t="shared" si="448"/>
        <v>2999.9999999999995</v>
      </c>
      <c r="O451" s="1"/>
      <c r="Q451" s="1">
        <f t="shared" si="450"/>
        <v>2999.9999999999995</v>
      </c>
      <c r="T451" s="1">
        <f t="shared" si="452"/>
        <v>2999.9999999999995</v>
      </c>
      <c r="U451" s="1">
        <f t="shared" si="452"/>
        <v>2999.9999999999995</v>
      </c>
      <c r="V451" s="1">
        <f t="shared" si="453"/>
        <v>0</v>
      </c>
      <c r="W451" s="1">
        <f t="shared" si="454"/>
        <v>2999.9999999999995</v>
      </c>
      <c r="X451" s="1">
        <v>3000</v>
      </c>
      <c r="Y451" s="41">
        <f t="shared" si="439"/>
        <v>0</v>
      </c>
      <c r="Z451" s="1">
        <f t="shared" si="455"/>
        <v>2999.9999999999995</v>
      </c>
      <c r="AA451" s="1">
        <v>3000</v>
      </c>
      <c r="AB451" s="1">
        <f t="shared" si="460"/>
        <v>0</v>
      </c>
      <c r="AC451" s="1">
        <f t="shared" si="456"/>
        <v>2999.9999999999995</v>
      </c>
      <c r="AD451" s="41">
        <v>4000</v>
      </c>
      <c r="AE451" s="1">
        <f t="shared" si="457"/>
        <v>1000.0000000000005</v>
      </c>
      <c r="AF451" s="1">
        <f t="shared" si="458"/>
        <v>4000</v>
      </c>
    </row>
    <row r="452" spans="1:32" outlineLevel="2">
      <c r="A452" s="11">
        <v>33400</v>
      </c>
      <c r="B452" s="11">
        <v>22300</v>
      </c>
      <c r="C452" s="11" t="s">
        <v>426</v>
      </c>
      <c r="D452" s="7">
        <v>400</v>
      </c>
      <c r="E452" s="7"/>
      <c r="F452" s="7">
        <f t="shared" si="416"/>
        <v>400</v>
      </c>
      <c r="G452" s="7"/>
      <c r="H452" s="7">
        <f t="shared" si="459"/>
        <v>400</v>
      </c>
      <c r="I452" s="1"/>
      <c r="J452" s="1">
        <f t="shared" si="447"/>
        <v>400</v>
      </c>
      <c r="K452" s="1"/>
      <c r="L452" s="1">
        <f t="shared" si="461"/>
        <v>400</v>
      </c>
      <c r="N452" s="1">
        <f t="shared" si="448"/>
        <v>400</v>
      </c>
      <c r="O452" s="1"/>
      <c r="Q452" s="1">
        <f t="shared" si="450"/>
        <v>400</v>
      </c>
      <c r="T452" s="1">
        <f t="shared" si="452"/>
        <v>400</v>
      </c>
      <c r="U452" s="1">
        <f t="shared" si="452"/>
        <v>400</v>
      </c>
      <c r="V452" s="1">
        <f t="shared" si="453"/>
        <v>0</v>
      </c>
      <c r="W452" s="1">
        <f t="shared" si="454"/>
        <v>400</v>
      </c>
      <c r="X452" s="1">
        <v>1000</v>
      </c>
      <c r="Y452" s="41">
        <f t="shared" si="439"/>
        <v>600</v>
      </c>
      <c r="Z452" s="1">
        <f t="shared" si="455"/>
        <v>1000</v>
      </c>
      <c r="AA452" s="1">
        <v>0</v>
      </c>
      <c r="AB452" s="1">
        <f t="shared" si="460"/>
        <v>-1000</v>
      </c>
      <c r="AC452" s="1">
        <f t="shared" si="456"/>
        <v>0</v>
      </c>
      <c r="AD452" s="41">
        <v>0</v>
      </c>
      <c r="AE452" s="1">
        <f t="shared" si="457"/>
        <v>0</v>
      </c>
      <c r="AF452" s="1">
        <f t="shared" si="458"/>
        <v>0</v>
      </c>
    </row>
    <row r="453" spans="1:32" s="2" customFormat="1" outlineLevel="1">
      <c r="A453" s="11">
        <v>33400</v>
      </c>
      <c r="B453" s="11">
        <v>22601</v>
      </c>
      <c r="C453" s="11" t="s">
        <v>427</v>
      </c>
      <c r="D453" s="7">
        <v>7200</v>
      </c>
      <c r="E453" s="7"/>
      <c r="F453" s="7">
        <f t="shared" si="416"/>
        <v>7200</v>
      </c>
      <c r="G453" s="7"/>
      <c r="H453" s="7">
        <f t="shared" si="459"/>
        <v>7200</v>
      </c>
      <c r="I453" s="1"/>
      <c r="J453" s="1">
        <f t="shared" si="447"/>
        <v>7200</v>
      </c>
      <c r="K453" s="1"/>
      <c r="L453" s="1">
        <f t="shared" si="461"/>
        <v>7200</v>
      </c>
      <c r="M453" s="7">
        <v>-89.5</v>
      </c>
      <c r="N453" s="1">
        <f t="shared" si="448"/>
        <v>7110.5</v>
      </c>
      <c r="O453" s="1"/>
      <c r="P453" s="3"/>
      <c r="Q453" s="1">
        <f t="shared" si="450"/>
        <v>7110.5</v>
      </c>
      <c r="R453" s="3"/>
      <c r="S453" s="3"/>
      <c r="T453" s="1">
        <f t="shared" si="452"/>
        <v>7110.5</v>
      </c>
      <c r="U453" s="1">
        <f t="shared" si="452"/>
        <v>7110.5</v>
      </c>
      <c r="V453" s="1">
        <f t="shared" si="453"/>
        <v>0</v>
      </c>
      <c r="W453" s="1">
        <f t="shared" si="454"/>
        <v>7110.5</v>
      </c>
      <c r="X453" s="41">
        <v>10000</v>
      </c>
      <c r="Y453" s="41">
        <f t="shared" si="439"/>
        <v>2889.5</v>
      </c>
      <c r="Z453" s="1">
        <f t="shared" si="455"/>
        <v>10000</v>
      </c>
      <c r="AA453" s="41">
        <v>10000</v>
      </c>
      <c r="AB453" s="1">
        <f t="shared" si="460"/>
        <v>0</v>
      </c>
      <c r="AC453" s="1">
        <f t="shared" si="456"/>
        <v>10000</v>
      </c>
      <c r="AD453" s="41">
        <v>5000</v>
      </c>
      <c r="AE453" s="1">
        <f t="shared" si="457"/>
        <v>-5000</v>
      </c>
      <c r="AF453" s="1">
        <f t="shared" si="458"/>
        <v>5000</v>
      </c>
    </row>
    <row r="454" spans="1:32" outlineLevel="2">
      <c r="A454" s="11">
        <v>33400</v>
      </c>
      <c r="B454" s="11">
        <v>22602</v>
      </c>
      <c r="C454" s="11" t="s">
        <v>428</v>
      </c>
      <c r="D454" s="7">
        <v>60000</v>
      </c>
      <c r="E454" s="7"/>
      <c r="F454" s="7">
        <f t="shared" si="416"/>
        <v>60000</v>
      </c>
      <c r="G454" s="7">
        <v>-5000</v>
      </c>
      <c r="H454" s="7">
        <f t="shared" si="459"/>
        <v>55000</v>
      </c>
      <c r="I454" s="1"/>
      <c r="J454" s="1">
        <f t="shared" si="447"/>
        <v>55000</v>
      </c>
      <c r="K454" s="1"/>
      <c r="L454" s="1">
        <f t="shared" si="461"/>
        <v>55000</v>
      </c>
      <c r="M454" s="7">
        <v>-25000</v>
      </c>
      <c r="N454" s="1">
        <f t="shared" si="448"/>
        <v>30000</v>
      </c>
      <c r="O454" s="1"/>
      <c r="Q454" s="1">
        <f t="shared" si="450"/>
        <v>30000</v>
      </c>
      <c r="T454" s="1">
        <f t="shared" si="452"/>
        <v>30000</v>
      </c>
      <c r="U454" s="1">
        <f t="shared" si="452"/>
        <v>30000</v>
      </c>
      <c r="V454" s="1">
        <f t="shared" si="453"/>
        <v>0</v>
      </c>
      <c r="W454" s="1">
        <f t="shared" si="454"/>
        <v>30000</v>
      </c>
      <c r="X454" s="41">
        <v>10000</v>
      </c>
      <c r="Y454" s="41">
        <f t="shared" si="439"/>
        <v>-20000</v>
      </c>
      <c r="Z454" s="1">
        <f t="shared" si="455"/>
        <v>10000</v>
      </c>
      <c r="AA454" s="1">
        <v>15000</v>
      </c>
      <c r="AB454" s="1">
        <f>AA454-Z454-4963.28</f>
        <v>36.720000000000255</v>
      </c>
      <c r="AC454" s="1">
        <f t="shared" si="456"/>
        <v>10036.720000000001</v>
      </c>
      <c r="AD454" s="41">
        <v>15000</v>
      </c>
      <c r="AE454" s="1">
        <f t="shared" si="457"/>
        <v>4963.2799999999988</v>
      </c>
      <c r="AF454" s="1">
        <f t="shared" si="458"/>
        <v>15000</v>
      </c>
    </row>
    <row r="455" spans="1:32" outlineLevel="2">
      <c r="A455" s="11">
        <v>33400</v>
      </c>
      <c r="B455" s="11">
        <v>22606</v>
      </c>
      <c r="C455" s="11" t="s">
        <v>429</v>
      </c>
      <c r="D455" s="7">
        <v>400000</v>
      </c>
      <c r="E455" s="7"/>
      <c r="F455" s="7">
        <f t="shared" si="416"/>
        <v>400000</v>
      </c>
      <c r="G455" s="7">
        <f>-3844.22</f>
        <v>-3844.22</v>
      </c>
      <c r="H455" s="7">
        <f t="shared" si="459"/>
        <v>396155.78</v>
      </c>
      <c r="I455" s="1"/>
      <c r="J455" s="1">
        <f t="shared" si="447"/>
        <v>396155.78</v>
      </c>
      <c r="K455" s="1"/>
      <c r="L455" s="1">
        <f t="shared" si="461"/>
        <v>396155.78</v>
      </c>
      <c r="M455" s="7">
        <v>-46155.78</v>
      </c>
      <c r="N455" s="1">
        <f t="shared" si="448"/>
        <v>350000</v>
      </c>
      <c r="O455" s="1"/>
      <c r="P455" s="1">
        <v>-100000</v>
      </c>
      <c r="Q455" s="1">
        <f t="shared" si="450"/>
        <v>250000</v>
      </c>
      <c r="S455" s="1">
        <f>-37000-13000</f>
        <v>-50000</v>
      </c>
      <c r="T455" s="1">
        <f t="shared" si="452"/>
        <v>200000</v>
      </c>
      <c r="U455" s="1">
        <v>170000</v>
      </c>
      <c r="V455" s="1">
        <f t="shared" si="453"/>
        <v>-30000</v>
      </c>
      <c r="W455" s="1">
        <f t="shared" si="454"/>
        <v>170000</v>
      </c>
      <c r="X455" s="1">
        <v>170000</v>
      </c>
      <c r="Y455" s="41">
        <f t="shared" si="439"/>
        <v>0</v>
      </c>
      <c r="Z455" s="1">
        <f t="shared" si="455"/>
        <v>170000</v>
      </c>
      <c r="AA455" s="1">
        <v>185000</v>
      </c>
      <c r="AB455" s="1">
        <f t="shared" si="460"/>
        <v>15000</v>
      </c>
      <c r="AC455" s="1">
        <f t="shared" si="456"/>
        <v>185000</v>
      </c>
      <c r="AD455" s="41">
        <v>200000</v>
      </c>
      <c r="AE455" s="1">
        <f t="shared" si="457"/>
        <v>15000</v>
      </c>
      <c r="AF455" s="1">
        <f t="shared" si="458"/>
        <v>200000</v>
      </c>
    </row>
    <row r="456" spans="1:32" outlineLevel="2">
      <c r="A456" s="11">
        <v>33400</v>
      </c>
      <c r="B456" s="11">
        <v>22699</v>
      </c>
      <c r="C456" s="42" t="s">
        <v>256</v>
      </c>
      <c r="D456" s="7">
        <v>40000</v>
      </c>
      <c r="E456" s="7"/>
      <c r="F456" s="7">
        <f t="shared" si="416"/>
        <v>40000</v>
      </c>
      <c r="G456" s="7"/>
      <c r="H456" s="7">
        <f t="shared" si="459"/>
        <v>40000</v>
      </c>
      <c r="I456" s="1"/>
      <c r="J456" s="1">
        <f t="shared" si="447"/>
        <v>40000</v>
      </c>
      <c r="K456" s="1"/>
      <c r="L456" s="1">
        <f t="shared" si="461"/>
        <v>40000</v>
      </c>
      <c r="N456" s="1">
        <f t="shared" si="448"/>
        <v>40000</v>
      </c>
      <c r="O456" s="1"/>
      <c r="P456" s="1">
        <v>-30000</v>
      </c>
      <c r="Q456" s="1">
        <f t="shared" si="450"/>
        <v>10000</v>
      </c>
      <c r="T456" s="1">
        <f t="shared" si="452"/>
        <v>10000</v>
      </c>
      <c r="U456" s="1">
        <f t="shared" si="452"/>
        <v>10000</v>
      </c>
      <c r="V456" s="1">
        <f t="shared" si="453"/>
        <v>0</v>
      </c>
      <c r="W456" s="1">
        <f t="shared" si="454"/>
        <v>10000</v>
      </c>
      <c r="X456" s="1">
        <v>10000</v>
      </c>
      <c r="Y456" s="41">
        <f t="shared" si="439"/>
        <v>0</v>
      </c>
      <c r="Z456" s="1">
        <f t="shared" si="455"/>
        <v>10000</v>
      </c>
      <c r="AA456" s="1">
        <v>10000</v>
      </c>
      <c r="AB456" s="1">
        <f t="shared" si="460"/>
        <v>0</v>
      </c>
      <c r="AC456" s="1">
        <f t="shared" si="456"/>
        <v>10000</v>
      </c>
      <c r="AD456" s="41">
        <f>17000+20000+1400</f>
        <v>38400</v>
      </c>
      <c r="AE456" s="1">
        <f t="shared" si="457"/>
        <v>28400</v>
      </c>
      <c r="AF456" s="1">
        <f t="shared" si="458"/>
        <v>38400</v>
      </c>
    </row>
    <row r="457" spans="1:32" outlineLevel="2">
      <c r="A457" s="11">
        <v>33400</v>
      </c>
      <c r="B457" s="11">
        <v>22706</v>
      </c>
      <c r="C457" s="42" t="s">
        <v>901</v>
      </c>
      <c r="D457" s="7">
        <v>119500</v>
      </c>
      <c r="E457" s="7">
        <v>119500</v>
      </c>
      <c r="F457" s="7">
        <f t="shared" si="416"/>
        <v>0</v>
      </c>
      <c r="G457" s="7"/>
      <c r="H457" s="7">
        <f t="shared" si="459"/>
        <v>119500</v>
      </c>
      <c r="I457" s="7"/>
      <c r="J457" s="7">
        <f t="shared" si="447"/>
        <v>119500</v>
      </c>
      <c r="K457" s="7"/>
      <c r="L457" s="7">
        <v>119500</v>
      </c>
      <c r="M457" s="7">
        <v>0</v>
      </c>
      <c r="N457" s="7">
        <v>0</v>
      </c>
      <c r="O457" s="7"/>
      <c r="P457" s="16">
        <v>119500</v>
      </c>
      <c r="Q457" s="1">
        <f t="shared" si="450"/>
        <v>119500</v>
      </c>
      <c r="R457" s="1">
        <v>156500</v>
      </c>
      <c r="S457" s="1">
        <f>R457-Q457</f>
        <v>37000</v>
      </c>
      <c r="T457" s="1">
        <f t="shared" si="452"/>
        <v>156500</v>
      </c>
      <c r="U457" s="1">
        <v>136500</v>
      </c>
      <c r="V457" s="1">
        <f t="shared" si="453"/>
        <v>-20000</v>
      </c>
      <c r="W457" s="1">
        <f t="shared" si="454"/>
        <v>136500</v>
      </c>
      <c r="X457" s="54">
        <v>125000</v>
      </c>
      <c r="Y457" s="41">
        <f t="shared" si="439"/>
        <v>-11500</v>
      </c>
      <c r="Z457" s="1">
        <f t="shared" si="455"/>
        <v>125000</v>
      </c>
      <c r="AA457" s="1">
        <v>136600</v>
      </c>
      <c r="AB457" s="1">
        <f t="shared" si="460"/>
        <v>11600</v>
      </c>
      <c r="AC457" s="1">
        <f t="shared" si="456"/>
        <v>136600</v>
      </c>
      <c r="AD457" s="41">
        <f>196730*1.21/2</f>
        <v>119021.65</v>
      </c>
      <c r="AE457" s="1">
        <f t="shared" si="457"/>
        <v>-17578.350000000006</v>
      </c>
      <c r="AF457" s="1">
        <f t="shared" si="458"/>
        <v>119021.65</v>
      </c>
    </row>
    <row r="458" spans="1:32" outlineLevel="2">
      <c r="A458" s="11">
        <v>33400</v>
      </c>
      <c r="B458" s="11">
        <v>23020</v>
      </c>
      <c r="C458" s="11" t="s">
        <v>430</v>
      </c>
      <c r="D458" s="7">
        <v>400</v>
      </c>
      <c r="E458" s="7"/>
      <c r="F458" s="7">
        <f t="shared" si="416"/>
        <v>400</v>
      </c>
      <c r="G458" s="7"/>
      <c r="H458" s="7">
        <f t="shared" si="459"/>
        <v>400</v>
      </c>
      <c r="I458" s="1"/>
      <c r="J458" s="1">
        <f t="shared" si="447"/>
        <v>400</v>
      </c>
      <c r="K458" s="1"/>
      <c r="L458" s="1">
        <f t="shared" si="461"/>
        <v>400</v>
      </c>
      <c r="N458" s="1">
        <f t="shared" si="448"/>
        <v>400</v>
      </c>
      <c r="O458" s="1"/>
      <c r="Q458" s="1">
        <f t="shared" si="450"/>
        <v>400</v>
      </c>
      <c r="T458" s="1">
        <f t="shared" si="452"/>
        <v>400</v>
      </c>
      <c r="U458" s="1">
        <f t="shared" si="452"/>
        <v>400</v>
      </c>
      <c r="V458" s="1">
        <f t="shared" si="453"/>
        <v>0</v>
      </c>
      <c r="W458" s="1">
        <f t="shared" si="454"/>
        <v>400</v>
      </c>
      <c r="X458" s="1">
        <v>100</v>
      </c>
      <c r="Y458" s="41">
        <f t="shared" si="439"/>
        <v>-300</v>
      </c>
      <c r="Z458" s="1">
        <f t="shared" si="455"/>
        <v>100</v>
      </c>
      <c r="AA458" s="1">
        <v>1000</v>
      </c>
      <c r="AB458" s="1">
        <f t="shared" si="460"/>
        <v>900</v>
      </c>
      <c r="AC458" s="1">
        <f t="shared" si="456"/>
        <v>1000</v>
      </c>
      <c r="AD458" s="41">
        <v>500</v>
      </c>
      <c r="AE458" s="1">
        <f t="shared" si="457"/>
        <v>-500</v>
      </c>
      <c r="AF458" s="1">
        <f t="shared" si="458"/>
        <v>500</v>
      </c>
    </row>
    <row r="459" spans="1:32" outlineLevel="2">
      <c r="A459" s="11">
        <v>33400</v>
      </c>
      <c r="B459" s="11">
        <v>23120</v>
      </c>
      <c r="C459" s="11" t="s">
        <v>431</v>
      </c>
      <c r="D459" s="7">
        <v>400</v>
      </c>
      <c r="E459" s="7"/>
      <c r="F459" s="7">
        <f t="shared" si="416"/>
        <v>400</v>
      </c>
      <c r="G459" s="7"/>
      <c r="H459" s="7">
        <f t="shared" si="459"/>
        <v>400</v>
      </c>
      <c r="I459" s="1"/>
      <c r="J459" s="1">
        <f t="shared" si="447"/>
        <v>400</v>
      </c>
      <c r="K459" s="1"/>
      <c r="L459" s="1">
        <f t="shared" si="461"/>
        <v>400</v>
      </c>
      <c r="N459" s="1">
        <f t="shared" si="448"/>
        <v>400</v>
      </c>
      <c r="O459" s="1"/>
      <c r="Q459" s="1">
        <f t="shared" si="450"/>
        <v>400</v>
      </c>
      <c r="T459" s="1">
        <f t="shared" si="452"/>
        <v>400</v>
      </c>
      <c r="U459" s="1">
        <f t="shared" si="452"/>
        <v>400</v>
      </c>
      <c r="V459" s="1">
        <f t="shared" si="453"/>
        <v>0</v>
      </c>
      <c r="W459" s="1">
        <f t="shared" si="454"/>
        <v>400</v>
      </c>
      <c r="X459" s="1">
        <v>100</v>
      </c>
      <c r="Y459" s="41">
        <f t="shared" si="439"/>
        <v>-300</v>
      </c>
      <c r="Z459" s="1">
        <f t="shared" si="455"/>
        <v>100</v>
      </c>
      <c r="AA459" s="1">
        <v>1500</v>
      </c>
      <c r="AB459" s="1">
        <f t="shared" si="460"/>
        <v>1400</v>
      </c>
      <c r="AC459" s="1">
        <f t="shared" si="456"/>
        <v>1500</v>
      </c>
      <c r="AD459" s="41">
        <v>1000</v>
      </c>
      <c r="AE459" s="1">
        <f t="shared" si="457"/>
        <v>-500</v>
      </c>
      <c r="AF459" s="1">
        <f t="shared" si="458"/>
        <v>1000</v>
      </c>
    </row>
    <row r="460" spans="1:32" outlineLevel="2">
      <c r="A460" s="11">
        <v>33400</v>
      </c>
      <c r="B460" s="11">
        <v>46300</v>
      </c>
      <c r="C460" s="11" t="s">
        <v>432</v>
      </c>
      <c r="D460" s="7">
        <v>20500</v>
      </c>
      <c r="E460" s="7">
        <v>21136.799999999999</v>
      </c>
      <c r="F460" s="7">
        <f t="shared" si="416"/>
        <v>-636.79999999999927</v>
      </c>
      <c r="G460" s="7">
        <v>636.79999999999995</v>
      </c>
      <c r="H460" s="7">
        <f t="shared" si="459"/>
        <v>21136.799999999999</v>
      </c>
      <c r="I460" s="1"/>
      <c r="J460" s="1">
        <f t="shared" si="447"/>
        <v>21136.799999999999</v>
      </c>
      <c r="K460" s="1"/>
      <c r="L460" s="1">
        <f t="shared" si="461"/>
        <v>21136.799999999999</v>
      </c>
      <c r="M460" s="7">
        <f>11649.5-L460</f>
        <v>-9487.2999999999993</v>
      </c>
      <c r="N460" s="1">
        <f t="shared" si="448"/>
        <v>11649.5</v>
      </c>
      <c r="O460" s="1"/>
      <c r="Q460" s="1">
        <f t="shared" si="450"/>
        <v>11649.5</v>
      </c>
      <c r="R460" s="1">
        <v>13083.54</v>
      </c>
      <c r="S460" s="1">
        <f>R460-Q460</f>
        <v>1434.0400000000009</v>
      </c>
      <c r="T460" s="1">
        <f t="shared" si="452"/>
        <v>13083.54</v>
      </c>
      <c r="U460" s="1">
        <v>13083.54</v>
      </c>
      <c r="V460" s="1">
        <f t="shared" si="453"/>
        <v>0</v>
      </c>
      <c r="W460" s="1">
        <f t="shared" si="454"/>
        <v>13083.54</v>
      </c>
      <c r="X460" s="1">
        <v>13083.54</v>
      </c>
      <c r="Y460" s="41">
        <f t="shared" si="439"/>
        <v>0</v>
      </c>
      <c r="Z460" s="1">
        <f t="shared" si="455"/>
        <v>13083.54</v>
      </c>
      <c r="AA460" s="1">
        <v>15525.63</v>
      </c>
      <c r="AB460" s="1">
        <f t="shared" si="460"/>
        <v>2442.0899999999983</v>
      </c>
      <c r="AC460" s="1">
        <f t="shared" si="456"/>
        <v>15525.63</v>
      </c>
      <c r="AD460" s="41">
        <v>19598.900000000001</v>
      </c>
      <c r="AE460" s="1">
        <f t="shared" si="457"/>
        <v>4073.2700000000023</v>
      </c>
      <c r="AF460" s="1">
        <f t="shared" si="458"/>
        <v>19598.900000000001</v>
      </c>
    </row>
    <row r="461" spans="1:32" outlineLevel="2">
      <c r="A461" s="11">
        <v>33400</v>
      </c>
      <c r="B461" s="11">
        <v>46700</v>
      </c>
      <c r="C461" s="39" t="s">
        <v>826</v>
      </c>
      <c r="D461" s="7"/>
      <c r="E461" s="7"/>
      <c r="F461" s="7"/>
      <c r="G461" s="7"/>
      <c r="H461" s="7"/>
      <c r="I461" s="1"/>
      <c r="J461" s="1"/>
      <c r="K461" s="1"/>
      <c r="L461" s="1"/>
      <c r="N461" s="1"/>
      <c r="O461" s="1"/>
      <c r="T461" s="1"/>
      <c r="V461" s="1"/>
      <c r="W461" s="1"/>
      <c r="Y461" s="41"/>
      <c r="Z461" s="1">
        <v>0</v>
      </c>
      <c r="AA461" s="1">
        <v>211484.05</v>
      </c>
      <c r="AB461" s="1">
        <f t="shared" si="460"/>
        <v>211484.05</v>
      </c>
      <c r="AC461" s="1">
        <f t="shared" si="456"/>
        <v>211484.05</v>
      </c>
      <c r="AD461" s="41">
        <v>213598.89</v>
      </c>
      <c r="AE461" s="1">
        <f t="shared" si="457"/>
        <v>2114.8400000000256</v>
      </c>
      <c r="AF461" s="1">
        <f t="shared" si="458"/>
        <v>213598.89</v>
      </c>
    </row>
    <row r="462" spans="1:32" outlineLevel="2">
      <c r="A462" s="11">
        <v>33400</v>
      </c>
      <c r="B462" s="11">
        <v>48100</v>
      </c>
      <c r="C462" s="11" t="s">
        <v>433</v>
      </c>
      <c r="D462" s="7">
        <v>7400</v>
      </c>
      <c r="E462" s="7"/>
      <c r="F462" s="7">
        <f t="shared" si="416"/>
        <v>7400</v>
      </c>
      <c r="G462" s="7"/>
      <c r="H462" s="7">
        <f t="shared" si="459"/>
        <v>7400</v>
      </c>
      <c r="I462" s="1"/>
      <c r="J462" s="1">
        <f t="shared" si="447"/>
        <v>7400</v>
      </c>
      <c r="K462" s="1"/>
      <c r="L462" s="1">
        <f t="shared" si="461"/>
        <v>7400</v>
      </c>
      <c r="M462" s="7">
        <v>-3200</v>
      </c>
      <c r="N462" s="1">
        <f t="shared" si="448"/>
        <v>4200</v>
      </c>
      <c r="O462" s="1"/>
      <c r="Q462" s="1">
        <f t="shared" si="450"/>
        <v>4200</v>
      </c>
      <c r="T462" s="1">
        <f t="shared" si="452"/>
        <v>4200</v>
      </c>
      <c r="U462" s="1">
        <f t="shared" si="452"/>
        <v>4200</v>
      </c>
      <c r="V462" s="1">
        <f t="shared" si="453"/>
        <v>0</v>
      </c>
      <c r="W462" s="1">
        <f t="shared" si="454"/>
        <v>4200</v>
      </c>
      <c r="X462" s="1">
        <v>5300</v>
      </c>
      <c r="Y462" s="41">
        <f t="shared" si="439"/>
        <v>1100</v>
      </c>
      <c r="Z462" s="1">
        <f t="shared" si="455"/>
        <v>5300</v>
      </c>
      <c r="AA462" s="1">
        <v>7100</v>
      </c>
      <c r="AB462" s="1">
        <f t="shared" si="460"/>
        <v>1800</v>
      </c>
      <c r="AC462" s="1">
        <f t="shared" si="456"/>
        <v>7100</v>
      </c>
      <c r="AD462" s="41">
        <v>7100</v>
      </c>
      <c r="AE462" s="1">
        <f t="shared" si="457"/>
        <v>0</v>
      </c>
      <c r="AF462" s="1">
        <f t="shared" si="458"/>
        <v>7100</v>
      </c>
    </row>
    <row r="463" spans="1:32" outlineLevel="2">
      <c r="A463" s="11">
        <v>33400</v>
      </c>
      <c r="B463" s="11">
        <v>48900</v>
      </c>
      <c r="C463" s="11" t="s">
        <v>434</v>
      </c>
      <c r="D463" s="7">
        <v>27000</v>
      </c>
      <c r="E463" s="7"/>
      <c r="F463" s="7">
        <f t="shared" si="416"/>
        <v>27000</v>
      </c>
      <c r="G463" s="7"/>
      <c r="H463" s="7">
        <f t="shared" si="459"/>
        <v>27000</v>
      </c>
      <c r="I463" s="1"/>
      <c r="J463" s="1">
        <f t="shared" si="447"/>
        <v>27000</v>
      </c>
      <c r="K463" s="1"/>
      <c r="L463" s="1">
        <f t="shared" si="461"/>
        <v>27000</v>
      </c>
      <c r="N463" s="1">
        <f t="shared" si="448"/>
        <v>27000</v>
      </c>
      <c r="O463" s="1"/>
      <c r="Q463" s="1">
        <f t="shared" si="450"/>
        <v>27000</v>
      </c>
      <c r="T463" s="1">
        <f t="shared" si="452"/>
        <v>27000</v>
      </c>
      <c r="U463" s="1">
        <f t="shared" si="452"/>
        <v>27000</v>
      </c>
      <c r="V463" s="1">
        <f t="shared" si="453"/>
        <v>0</v>
      </c>
      <c r="W463" s="1">
        <f t="shared" si="454"/>
        <v>27000</v>
      </c>
      <c r="X463" s="1">
        <v>28000</v>
      </c>
      <c r="Y463" s="41">
        <f t="shared" si="439"/>
        <v>1000</v>
      </c>
      <c r="Z463" s="1">
        <f t="shared" si="455"/>
        <v>28000</v>
      </c>
      <c r="AA463" s="1">
        <v>28000</v>
      </c>
      <c r="AB463" s="1">
        <f t="shared" si="460"/>
        <v>0</v>
      </c>
      <c r="AC463" s="1">
        <f t="shared" si="456"/>
        <v>28000</v>
      </c>
      <c r="AD463" s="41">
        <v>28000</v>
      </c>
      <c r="AE463" s="1">
        <f t="shared" si="457"/>
        <v>0</v>
      </c>
      <c r="AF463" s="1">
        <f t="shared" si="458"/>
        <v>28000</v>
      </c>
    </row>
    <row r="464" spans="1:32" outlineLevel="2">
      <c r="A464" s="11">
        <v>33400</v>
      </c>
      <c r="B464" s="11">
        <v>48902</v>
      </c>
      <c r="C464" s="39" t="s">
        <v>829</v>
      </c>
      <c r="D464" s="7"/>
      <c r="E464" s="7"/>
      <c r="F464" s="7"/>
      <c r="G464" s="7"/>
      <c r="H464" s="7"/>
      <c r="I464" s="1"/>
      <c r="J464" s="1"/>
      <c r="K464" s="1"/>
      <c r="L464" s="1"/>
      <c r="N464" s="1"/>
      <c r="O464" s="1"/>
      <c r="T464" s="1"/>
      <c r="V464" s="1"/>
      <c r="W464" s="1"/>
      <c r="Y464" s="41"/>
      <c r="Z464" s="1">
        <v>0</v>
      </c>
      <c r="AA464" s="1">
        <v>3000</v>
      </c>
      <c r="AB464" s="1">
        <f t="shared" ref="AB464" si="466">AA464-Z464</f>
        <v>3000</v>
      </c>
      <c r="AC464" s="1">
        <f t="shared" ref="AC464" si="467">Z464+AB464</f>
        <v>3000</v>
      </c>
      <c r="AD464" s="41">
        <v>3000</v>
      </c>
      <c r="AE464" s="1">
        <f t="shared" si="457"/>
        <v>0</v>
      </c>
      <c r="AF464" s="1">
        <f t="shared" si="458"/>
        <v>3000</v>
      </c>
    </row>
    <row r="465" spans="1:32" outlineLevel="2">
      <c r="A465" s="11">
        <v>33400</v>
      </c>
      <c r="B465" s="11">
        <v>48903</v>
      </c>
      <c r="C465" s="11" t="s">
        <v>435</v>
      </c>
      <c r="D465" s="7">
        <v>7000</v>
      </c>
      <c r="E465" s="7"/>
      <c r="F465" s="7">
        <f t="shared" si="416"/>
        <v>7000</v>
      </c>
      <c r="G465" s="7"/>
      <c r="H465" s="7">
        <f t="shared" si="459"/>
        <v>7000</v>
      </c>
      <c r="I465" s="1"/>
      <c r="J465" s="1">
        <f t="shared" si="447"/>
        <v>7000</v>
      </c>
      <c r="K465" s="1"/>
      <c r="L465" s="1">
        <f t="shared" si="461"/>
        <v>7000</v>
      </c>
      <c r="M465" s="7">
        <v>-3700</v>
      </c>
      <c r="N465" s="1">
        <f t="shared" si="448"/>
        <v>3300</v>
      </c>
      <c r="O465" s="1"/>
      <c r="Q465" s="1">
        <f t="shared" si="450"/>
        <v>3300</v>
      </c>
      <c r="S465" s="1">
        <v>-1500</v>
      </c>
      <c r="T465" s="1">
        <f t="shared" si="452"/>
        <v>1800</v>
      </c>
      <c r="U465" s="1">
        <f t="shared" si="452"/>
        <v>1800</v>
      </c>
      <c r="V465" s="1">
        <f t="shared" si="453"/>
        <v>0</v>
      </c>
      <c r="W465" s="1">
        <f t="shared" si="454"/>
        <v>1800</v>
      </c>
      <c r="X465" s="1">
        <v>1800</v>
      </c>
      <c r="Y465" s="41">
        <f t="shared" si="439"/>
        <v>0</v>
      </c>
      <c r="Z465" s="1">
        <f t="shared" si="455"/>
        <v>1800</v>
      </c>
      <c r="AA465" s="1">
        <v>1800</v>
      </c>
      <c r="AB465" s="1">
        <f t="shared" si="460"/>
        <v>0</v>
      </c>
      <c r="AC465" s="1">
        <f t="shared" si="456"/>
        <v>1800</v>
      </c>
      <c r="AD465" s="41">
        <v>1800</v>
      </c>
      <c r="AE465" s="1">
        <f t="shared" si="457"/>
        <v>0</v>
      </c>
      <c r="AF465" s="1">
        <f t="shared" si="458"/>
        <v>1800</v>
      </c>
    </row>
    <row r="466" spans="1:32" outlineLevel="2">
      <c r="A466" s="11">
        <v>33400</v>
      </c>
      <c r="B466" s="11">
        <v>61000</v>
      </c>
      <c r="C466" s="39" t="s">
        <v>925</v>
      </c>
      <c r="D466" s="7"/>
      <c r="E466" s="7"/>
      <c r="F466" s="7"/>
      <c r="G466" s="7"/>
      <c r="H466" s="7"/>
      <c r="I466" s="1"/>
      <c r="J466" s="1"/>
      <c r="K466" s="1"/>
      <c r="L466" s="1"/>
      <c r="N466" s="1"/>
      <c r="O466" s="1"/>
      <c r="T466" s="1"/>
      <c r="V466" s="1"/>
      <c r="W466" s="1"/>
      <c r="Y466" s="41"/>
      <c r="Z466" s="1"/>
      <c r="AB466" s="1"/>
      <c r="AC466" s="1">
        <v>0</v>
      </c>
      <c r="AD466" s="41">
        <v>25000</v>
      </c>
      <c r="AE466" s="1">
        <f t="shared" ref="AE466" si="468">AD466-AC466</f>
        <v>25000</v>
      </c>
      <c r="AF466" s="1">
        <f t="shared" ref="AF466" si="469">AC466+AE466</f>
        <v>25000</v>
      </c>
    </row>
    <row r="467" spans="1:32" outlineLevel="2">
      <c r="A467" s="11">
        <v>33400</v>
      </c>
      <c r="B467" s="11">
        <v>62300</v>
      </c>
      <c r="C467" s="39" t="s">
        <v>809</v>
      </c>
      <c r="D467" s="7"/>
      <c r="E467" s="7"/>
      <c r="F467" s="7"/>
      <c r="G467" s="7"/>
      <c r="H467" s="7"/>
      <c r="I467" s="1"/>
      <c r="J467" s="1"/>
      <c r="K467" s="1"/>
      <c r="L467" s="1"/>
      <c r="M467" s="10"/>
      <c r="N467" s="1"/>
      <c r="O467" s="1"/>
      <c r="T467" s="1"/>
      <c r="V467" s="1"/>
      <c r="W467" s="1">
        <v>0</v>
      </c>
      <c r="X467" s="1">
        <v>40000</v>
      </c>
      <c r="Y467" s="41">
        <f t="shared" ref="Y467" si="470">X467-W467</f>
        <v>40000</v>
      </c>
      <c r="Z467" s="1">
        <f t="shared" ref="Z467" si="471">W467+Y467</f>
        <v>40000</v>
      </c>
      <c r="AA467" s="1">
        <v>27000</v>
      </c>
      <c r="AB467" s="1">
        <f t="shared" si="460"/>
        <v>-13000</v>
      </c>
      <c r="AC467" s="1">
        <f t="shared" si="456"/>
        <v>27000</v>
      </c>
      <c r="AD467" s="41">
        <v>0</v>
      </c>
      <c r="AE467" s="1">
        <f t="shared" si="457"/>
        <v>-27000</v>
      </c>
      <c r="AF467" s="1">
        <f t="shared" si="458"/>
        <v>0</v>
      </c>
    </row>
    <row r="468" spans="1:32" outlineLevel="2">
      <c r="A468" s="9" t="s">
        <v>14</v>
      </c>
      <c r="B468" s="9"/>
      <c r="C468" s="9" t="s">
        <v>42</v>
      </c>
      <c r="D468" s="8">
        <f t="shared" ref="D468:Q468" si="472">SUBTOTAL(9,D431:D465)</f>
        <v>874629.11</v>
      </c>
      <c r="E468" s="8">
        <f t="shared" si="472"/>
        <v>325357.24</v>
      </c>
      <c r="F468" s="8">
        <f t="shared" si="472"/>
        <v>549271.87</v>
      </c>
      <c r="G468" s="8">
        <f t="shared" si="472"/>
        <v>42843.909999999996</v>
      </c>
      <c r="H468" s="8">
        <f t="shared" si="472"/>
        <v>917473.02</v>
      </c>
      <c r="I468" s="8">
        <f t="shared" si="472"/>
        <v>142380.16</v>
      </c>
      <c r="J468" s="8">
        <f t="shared" si="472"/>
        <v>775092.8600000001</v>
      </c>
      <c r="K468" s="8">
        <f t="shared" si="472"/>
        <v>-42340.280000000006</v>
      </c>
      <c r="L468" s="8">
        <f t="shared" si="472"/>
        <v>875132.74000000011</v>
      </c>
      <c r="M468" s="8">
        <f t="shared" si="472"/>
        <v>-106141.09999999999</v>
      </c>
      <c r="N468" s="8">
        <f t="shared" si="472"/>
        <v>649491.64</v>
      </c>
      <c r="O468" s="8">
        <f t="shared" si="472"/>
        <v>138071.63999999998</v>
      </c>
      <c r="P468" s="8">
        <f t="shared" si="472"/>
        <v>-11300</v>
      </c>
      <c r="Q468" s="8">
        <f t="shared" si="472"/>
        <v>638191.64</v>
      </c>
      <c r="S468" s="8">
        <f>SUBTOTAL(9,S431:S465)</f>
        <v>-11395.339999999989</v>
      </c>
      <c r="T468" s="8">
        <f>SUBTOTAL(9,T431:T465)</f>
        <v>626796.30000000005</v>
      </c>
      <c r="U468" s="8">
        <f>SUBTOTAL(9,U431:U465)</f>
        <v>624514.20000000007</v>
      </c>
      <c r="V468" s="8">
        <f>SUBTOTAL(9,V431:V465)</f>
        <v>-2282.0999999999985</v>
      </c>
      <c r="W468" s="8">
        <f>SUBTOTAL(9,W431:W465)</f>
        <v>624514.20000000007</v>
      </c>
      <c r="X468" s="8">
        <f>SUBTOTAL(9,X431:X467)</f>
        <v>646638.31000000006</v>
      </c>
      <c r="Y468" s="8">
        <f>SUBTOTAL(9,Y431:Y465)</f>
        <v>-17875.89</v>
      </c>
      <c r="Z468" s="8">
        <f t="shared" ref="Z468:AF468" si="473">SUBTOTAL(9,Z431:Z467)</f>
        <v>646638.31000000006</v>
      </c>
      <c r="AA468" s="8">
        <f t="shared" si="473"/>
        <v>883313.64999999991</v>
      </c>
      <c r="AB468" s="8">
        <f t="shared" si="473"/>
        <v>231712.06</v>
      </c>
      <c r="AC468" s="8">
        <f>SUBTOTAL(9,AC431:AC467)</f>
        <v>878350.36999999988</v>
      </c>
      <c r="AD468" s="8">
        <f t="shared" si="473"/>
        <v>883828.38</v>
      </c>
      <c r="AE468" s="8">
        <f t="shared" si="473"/>
        <v>5478.0100000000239</v>
      </c>
      <c r="AF468" s="8">
        <f t="shared" si="473"/>
        <v>883828.38</v>
      </c>
    </row>
    <row r="469" spans="1:32" outlineLevel="2">
      <c r="A469" s="11">
        <v>33600</v>
      </c>
      <c r="B469" s="11">
        <v>12000</v>
      </c>
      <c r="C469" s="11" t="s">
        <v>129</v>
      </c>
      <c r="D469" s="7">
        <v>176285.77</v>
      </c>
      <c r="E469" s="7">
        <v>39651.39</v>
      </c>
      <c r="F469" s="7">
        <f t="shared" ref="F469:F523" si="474">D469-E469</f>
        <v>136634.38</v>
      </c>
      <c r="G469" s="7">
        <v>-136634.38</v>
      </c>
      <c r="H469" s="7">
        <f t="shared" ref="H469:H493" si="475">D469+G469</f>
        <v>39651.389999999985</v>
      </c>
      <c r="I469" s="1">
        <v>48924.4</v>
      </c>
      <c r="J469" s="1">
        <f t="shared" si="447"/>
        <v>-9273.0100000000166</v>
      </c>
      <c r="K469" s="1">
        <v>9273.01</v>
      </c>
      <c r="L469" s="1">
        <f t="shared" ref="L469:L493" si="476">H469+K469</f>
        <v>48924.399999999987</v>
      </c>
      <c r="M469" s="7">
        <f>29354.64-L469</f>
        <v>-19569.759999999987</v>
      </c>
      <c r="N469" s="1">
        <f t="shared" ref="N469:N493" si="477">L469+M469</f>
        <v>29354.639999999999</v>
      </c>
      <c r="O469" s="1">
        <v>29354.639999999999</v>
      </c>
      <c r="P469" s="1">
        <f t="shared" ref="P469:P477" si="478">O469-N469</f>
        <v>0</v>
      </c>
      <c r="Q469" s="1">
        <f t="shared" ref="Q469:Q493" si="479">N469+P469</f>
        <v>29354.639999999999</v>
      </c>
      <c r="R469" s="1">
        <v>29354.639999999999</v>
      </c>
      <c r="S469" s="1">
        <f t="shared" ref="S469:S477" si="480">R469-Q469</f>
        <v>0</v>
      </c>
      <c r="T469" s="1">
        <f t="shared" ref="T469:U493" si="481">Q469+S469</f>
        <v>29354.639999999999</v>
      </c>
      <c r="U469" s="1">
        <v>29354.639999999999</v>
      </c>
      <c r="V469" s="1">
        <f t="shared" ref="V469:V493" si="482">U469-T469</f>
        <v>0</v>
      </c>
      <c r="W469" s="1">
        <f t="shared" ref="W469:W493" si="483">T469+V469</f>
        <v>29354.639999999999</v>
      </c>
      <c r="X469" s="1">
        <v>32082.77</v>
      </c>
      <c r="Y469" s="41">
        <f t="shared" si="439"/>
        <v>2728.130000000001</v>
      </c>
      <c r="Z469" s="1">
        <f t="shared" ref="Z469:Z493" si="484">W469+Y469</f>
        <v>32082.77</v>
      </c>
      <c r="AA469" s="1">
        <v>29944.9</v>
      </c>
      <c r="AB469" s="1">
        <f>AA469-Z469</f>
        <v>-2137.869999999999</v>
      </c>
      <c r="AC469" s="1">
        <f t="shared" ref="AC469:AC495" si="485">Z469+AB469</f>
        <v>29944.9</v>
      </c>
      <c r="AD469" s="41">
        <v>30394.3</v>
      </c>
      <c r="AE469" s="1">
        <f t="shared" ref="AE469:AE530" si="486">AD469-AC469</f>
        <v>449.39999999999782</v>
      </c>
      <c r="AF469" s="1">
        <f t="shared" ref="AF469:AF530" si="487">AC469+AE469</f>
        <v>30394.3</v>
      </c>
    </row>
    <row r="470" spans="1:32" outlineLevel="2">
      <c r="A470" s="11">
        <v>33600</v>
      </c>
      <c r="B470" s="11">
        <v>12004</v>
      </c>
      <c r="C470" s="11" t="s">
        <v>130</v>
      </c>
      <c r="D470" s="7">
        <v>0</v>
      </c>
      <c r="E470" s="7">
        <v>30851.34</v>
      </c>
      <c r="F470" s="7">
        <f t="shared" si="474"/>
        <v>-30851.34</v>
      </c>
      <c r="G470" s="7">
        <v>30851.34</v>
      </c>
      <c r="H470" s="7">
        <f t="shared" si="475"/>
        <v>30851.34</v>
      </c>
      <c r="I470" s="1">
        <v>25135.74</v>
      </c>
      <c r="J470" s="1">
        <f t="shared" si="447"/>
        <v>5715.5999999999985</v>
      </c>
      <c r="K470" s="1">
        <v>-5715.6</v>
      </c>
      <c r="L470" s="1">
        <f t="shared" si="476"/>
        <v>25135.739999999998</v>
      </c>
      <c r="M470" s="7">
        <v>0</v>
      </c>
      <c r="N470" s="1">
        <f t="shared" si="477"/>
        <v>25135.739999999998</v>
      </c>
      <c r="O470" s="1">
        <v>25135.74</v>
      </c>
      <c r="P470" s="1">
        <f t="shared" si="478"/>
        <v>0</v>
      </c>
      <c r="Q470" s="1">
        <f t="shared" si="479"/>
        <v>25135.739999999998</v>
      </c>
      <c r="R470" s="1">
        <v>25135.74</v>
      </c>
      <c r="S470" s="1">
        <f t="shared" si="480"/>
        <v>0</v>
      </c>
      <c r="T470" s="1">
        <f t="shared" si="481"/>
        <v>25135.739999999998</v>
      </c>
      <c r="U470" s="1">
        <v>25135.74</v>
      </c>
      <c r="V470" s="1">
        <f t="shared" si="482"/>
        <v>0</v>
      </c>
      <c r="W470" s="1">
        <f t="shared" si="483"/>
        <v>25135.739999999998</v>
      </c>
      <c r="X470" s="1">
        <v>27623.93</v>
      </c>
      <c r="Y470" s="41">
        <f t="shared" si="439"/>
        <v>2488.1900000000023</v>
      </c>
      <c r="Z470" s="1">
        <f t="shared" si="484"/>
        <v>27623.93</v>
      </c>
      <c r="AA470" s="1">
        <v>25641.24</v>
      </c>
      <c r="AB470" s="1">
        <f t="shared" ref="AB470:AB495" si="488">AA470-Z470</f>
        <v>-1982.6899999999987</v>
      </c>
      <c r="AC470" s="1">
        <f t="shared" si="485"/>
        <v>25641.24</v>
      </c>
      <c r="AD470" s="41">
        <v>26026.17</v>
      </c>
      <c r="AE470" s="1">
        <f t="shared" si="486"/>
        <v>384.92999999999665</v>
      </c>
      <c r="AF470" s="1">
        <f t="shared" si="487"/>
        <v>26026.17</v>
      </c>
    </row>
    <row r="471" spans="1:32" s="2" customFormat="1" outlineLevel="1">
      <c r="A471" s="11">
        <v>33600</v>
      </c>
      <c r="B471" s="11">
        <v>12005</v>
      </c>
      <c r="C471" s="42" t="s">
        <v>681</v>
      </c>
      <c r="D471" s="7">
        <v>0</v>
      </c>
      <c r="E471" s="7">
        <v>72542.240000000005</v>
      </c>
      <c r="F471" s="7">
        <f>D471-E471</f>
        <v>-72542.240000000005</v>
      </c>
      <c r="G471" s="7">
        <v>72542.240000000005</v>
      </c>
      <c r="H471" s="7">
        <f>D471+G471</f>
        <v>72542.240000000005</v>
      </c>
      <c r="I471" s="1">
        <v>147218.94</v>
      </c>
      <c r="J471" s="1">
        <f t="shared" si="447"/>
        <v>-74676.7</v>
      </c>
      <c r="K471" s="1">
        <v>74676.7</v>
      </c>
      <c r="L471" s="1">
        <f t="shared" si="476"/>
        <v>147218.94</v>
      </c>
      <c r="M471" s="7">
        <f>69107.22-L471</f>
        <v>-78111.72</v>
      </c>
      <c r="N471" s="1">
        <f t="shared" si="477"/>
        <v>69107.22</v>
      </c>
      <c r="O471" s="1">
        <v>69107.22</v>
      </c>
      <c r="P471" s="1">
        <f t="shared" si="478"/>
        <v>0</v>
      </c>
      <c r="Q471" s="1">
        <f t="shared" si="479"/>
        <v>69107.22</v>
      </c>
      <c r="R471" s="41">
        <v>76785.8</v>
      </c>
      <c r="S471" s="1">
        <f t="shared" si="480"/>
        <v>7678.5800000000017</v>
      </c>
      <c r="T471" s="1">
        <f t="shared" si="481"/>
        <v>76785.8</v>
      </c>
      <c r="U471" s="41">
        <v>69107.22</v>
      </c>
      <c r="V471" s="1">
        <f t="shared" si="482"/>
        <v>-7678.5800000000017</v>
      </c>
      <c r="W471" s="1">
        <f t="shared" si="483"/>
        <v>69107.22</v>
      </c>
      <c r="X471" s="41">
        <v>82131.23</v>
      </c>
      <c r="Y471" s="41">
        <f t="shared" si="439"/>
        <v>13024.009999999995</v>
      </c>
      <c r="Z471" s="1">
        <f t="shared" si="484"/>
        <v>82131.23</v>
      </c>
      <c r="AA471" s="41">
        <v>86162.65</v>
      </c>
      <c r="AB471" s="1">
        <f t="shared" si="488"/>
        <v>4031.4199999999983</v>
      </c>
      <c r="AC471" s="1">
        <f t="shared" si="485"/>
        <v>86162.65</v>
      </c>
      <c r="AD471" s="41">
        <v>87455.39</v>
      </c>
      <c r="AE471" s="1">
        <f t="shared" si="486"/>
        <v>1292.7400000000052</v>
      </c>
      <c r="AF471" s="1">
        <f t="shared" si="487"/>
        <v>87455.39</v>
      </c>
    </row>
    <row r="472" spans="1:32" outlineLevel="2">
      <c r="A472" s="11">
        <v>33600</v>
      </c>
      <c r="B472" s="11">
        <v>12006</v>
      </c>
      <c r="C472" s="11" t="s">
        <v>81</v>
      </c>
      <c r="D472" s="7">
        <v>0</v>
      </c>
      <c r="E472" s="7">
        <v>16627.099999999999</v>
      </c>
      <c r="F472" s="7">
        <f t="shared" si="474"/>
        <v>-16627.099999999999</v>
      </c>
      <c r="G472" s="7">
        <v>16627.099999999999</v>
      </c>
      <c r="H472" s="7">
        <f t="shared" si="475"/>
        <v>16627.099999999999</v>
      </c>
      <c r="I472" s="1">
        <v>21416.5</v>
      </c>
      <c r="J472" s="1">
        <f t="shared" si="447"/>
        <v>-4789.4000000000015</v>
      </c>
      <c r="K472" s="1">
        <v>4789.3999999999996</v>
      </c>
      <c r="L472" s="1">
        <f t="shared" si="476"/>
        <v>21416.5</v>
      </c>
      <c r="M472" s="7">
        <f>21822.84-L472</f>
        <v>406.34000000000015</v>
      </c>
      <c r="N472" s="1">
        <f t="shared" si="477"/>
        <v>21822.84</v>
      </c>
      <c r="O472" s="1">
        <v>22438.59</v>
      </c>
      <c r="P472" s="1">
        <f t="shared" si="478"/>
        <v>615.75</v>
      </c>
      <c r="Q472" s="1">
        <f t="shared" si="479"/>
        <v>22438.59</v>
      </c>
      <c r="R472" s="41">
        <v>23320.48</v>
      </c>
      <c r="S472" s="1">
        <f t="shared" si="480"/>
        <v>881.88999999999942</v>
      </c>
      <c r="T472" s="1">
        <f t="shared" si="481"/>
        <v>23320.48</v>
      </c>
      <c r="U472" s="1">
        <v>24678.560000000001</v>
      </c>
      <c r="V472" s="1">
        <f t="shared" si="482"/>
        <v>1358.0800000000017</v>
      </c>
      <c r="W472" s="1">
        <f t="shared" si="483"/>
        <v>24678.560000000001</v>
      </c>
      <c r="X472" s="1">
        <v>25543.32</v>
      </c>
      <c r="Y472" s="41">
        <f t="shared" si="439"/>
        <v>864.7599999999984</v>
      </c>
      <c r="Z472" s="1">
        <f t="shared" si="484"/>
        <v>25543.32</v>
      </c>
      <c r="AA472" s="1">
        <v>26451.89</v>
      </c>
      <c r="AB472" s="1">
        <f t="shared" si="488"/>
        <v>908.56999999999971</v>
      </c>
      <c r="AC472" s="1">
        <f t="shared" si="485"/>
        <v>26451.89</v>
      </c>
      <c r="AD472" s="41">
        <v>28257.73</v>
      </c>
      <c r="AE472" s="1">
        <f t="shared" si="486"/>
        <v>1805.8400000000001</v>
      </c>
      <c r="AF472" s="1">
        <f t="shared" si="487"/>
        <v>28257.73</v>
      </c>
    </row>
    <row r="473" spans="1:32" outlineLevel="2">
      <c r="A473" s="11">
        <v>33600</v>
      </c>
      <c r="B473" s="11">
        <v>12100</v>
      </c>
      <c r="C473" s="11" t="s">
        <v>131</v>
      </c>
      <c r="D473" s="7">
        <v>142673.26</v>
      </c>
      <c r="E473" s="7">
        <v>55576.52</v>
      </c>
      <c r="F473" s="7">
        <f t="shared" si="474"/>
        <v>87096.74000000002</v>
      </c>
      <c r="G473" s="7">
        <v>-87096.74</v>
      </c>
      <c r="H473" s="7">
        <f t="shared" si="475"/>
        <v>55576.520000000004</v>
      </c>
      <c r="I473" s="1">
        <v>108485.88</v>
      </c>
      <c r="J473" s="1">
        <f t="shared" si="447"/>
        <v>-52909.36</v>
      </c>
      <c r="K473" s="1">
        <v>52909.36</v>
      </c>
      <c r="L473" s="1">
        <f t="shared" si="476"/>
        <v>108485.88</v>
      </c>
      <c r="M473" s="7">
        <f>94120.88-L473</f>
        <v>-14365</v>
      </c>
      <c r="N473" s="1">
        <f t="shared" si="477"/>
        <v>94120.88</v>
      </c>
      <c r="O473" s="1">
        <v>94120.88</v>
      </c>
      <c r="P473" s="1">
        <f t="shared" si="478"/>
        <v>0</v>
      </c>
      <c r="Q473" s="1">
        <f t="shared" si="479"/>
        <v>94120.88</v>
      </c>
      <c r="R473" s="41">
        <f>103217.66-33391.96</f>
        <v>69825.700000000012</v>
      </c>
      <c r="S473" s="1">
        <f t="shared" si="480"/>
        <v>-24295.179999999993</v>
      </c>
      <c r="T473" s="1">
        <f t="shared" si="481"/>
        <v>69825.700000000012</v>
      </c>
      <c r="U473" s="1">
        <v>65870.28</v>
      </c>
      <c r="V473" s="1">
        <f t="shared" si="482"/>
        <v>-3955.4200000000128</v>
      </c>
      <c r="W473" s="1">
        <f t="shared" si="483"/>
        <v>65870.28</v>
      </c>
      <c r="X473" s="1">
        <v>70523.92</v>
      </c>
      <c r="Y473" s="41">
        <f t="shared" si="439"/>
        <v>4653.6399999999994</v>
      </c>
      <c r="Z473" s="1">
        <f t="shared" si="484"/>
        <v>70523.92</v>
      </c>
      <c r="AA473" s="1">
        <v>75265.23</v>
      </c>
      <c r="AB473" s="1">
        <f t="shared" si="488"/>
        <v>4741.3099999999977</v>
      </c>
      <c r="AC473" s="1">
        <f t="shared" si="485"/>
        <v>75265.23</v>
      </c>
      <c r="AD473" s="41">
        <v>76395.16</v>
      </c>
      <c r="AE473" s="1">
        <f t="shared" si="486"/>
        <v>1129.9300000000076</v>
      </c>
      <c r="AF473" s="1">
        <f t="shared" si="487"/>
        <v>76395.16</v>
      </c>
    </row>
    <row r="474" spans="1:32" outlineLevel="2">
      <c r="A474" s="11">
        <v>33600</v>
      </c>
      <c r="B474" s="11">
        <v>12101</v>
      </c>
      <c r="C474" s="11" t="s">
        <v>132</v>
      </c>
      <c r="D474" s="7">
        <v>0</v>
      </c>
      <c r="E474" s="7">
        <v>71031.63</v>
      </c>
      <c r="F474" s="7">
        <f t="shared" si="474"/>
        <v>-71031.63</v>
      </c>
      <c r="G474" s="7">
        <v>71031.63</v>
      </c>
      <c r="H474" s="7">
        <f t="shared" si="475"/>
        <v>71031.63</v>
      </c>
      <c r="I474" s="1">
        <v>151551.75</v>
      </c>
      <c r="J474" s="1">
        <f t="shared" si="447"/>
        <v>-80520.12</v>
      </c>
      <c r="K474" s="1">
        <v>80520.12</v>
      </c>
      <c r="L474" s="1">
        <f t="shared" si="476"/>
        <v>151551.75</v>
      </c>
      <c r="M474" s="7">
        <f>64765.12-L474</f>
        <v>-86786.63</v>
      </c>
      <c r="N474" s="1">
        <f t="shared" si="477"/>
        <v>64765.119999999995</v>
      </c>
      <c r="O474" s="1">
        <v>64256.36</v>
      </c>
      <c r="P474" s="1">
        <f t="shared" si="478"/>
        <v>-508.75999999999476</v>
      </c>
      <c r="Q474" s="1">
        <f t="shared" si="479"/>
        <v>64256.36</v>
      </c>
      <c r="R474" s="41">
        <f>64765.12+33391.96</f>
        <v>98157.08</v>
      </c>
      <c r="S474" s="1">
        <f t="shared" si="480"/>
        <v>33900.720000000001</v>
      </c>
      <c r="T474" s="1">
        <f t="shared" si="481"/>
        <v>98157.08</v>
      </c>
      <c r="U474" s="1">
        <v>91998.2</v>
      </c>
      <c r="V474" s="1">
        <f t="shared" si="482"/>
        <v>-6158.8800000000047</v>
      </c>
      <c r="W474" s="1">
        <f t="shared" si="483"/>
        <v>91998.2</v>
      </c>
      <c r="X474" s="1">
        <v>99138.64</v>
      </c>
      <c r="Y474" s="41">
        <f t="shared" si="439"/>
        <v>7140.4400000000023</v>
      </c>
      <c r="Z474" s="1">
        <f t="shared" si="484"/>
        <v>99138.64</v>
      </c>
      <c r="AA474" s="1">
        <v>106413.13</v>
      </c>
      <c r="AB474" s="1">
        <f t="shared" si="488"/>
        <v>7274.4900000000052</v>
      </c>
      <c r="AC474" s="1">
        <f t="shared" si="485"/>
        <v>106413.13</v>
      </c>
      <c r="AD474" s="41">
        <v>108008.87</v>
      </c>
      <c r="AE474" s="1">
        <f t="shared" si="486"/>
        <v>1595.7399999999907</v>
      </c>
      <c r="AF474" s="1">
        <f t="shared" si="487"/>
        <v>108008.87</v>
      </c>
    </row>
    <row r="475" spans="1:32" s="2" customFormat="1" outlineLevel="1">
      <c r="A475" s="11">
        <v>33600</v>
      </c>
      <c r="B475" s="11">
        <v>13000</v>
      </c>
      <c r="C475" s="11" t="s">
        <v>566</v>
      </c>
      <c r="D475" s="7">
        <v>11155.9</v>
      </c>
      <c r="E475" s="7">
        <v>30818.97</v>
      </c>
      <c r="F475" s="7">
        <f t="shared" si="474"/>
        <v>-19663.07</v>
      </c>
      <c r="G475" s="7">
        <v>19663.07</v>
      </c>
      <c r="H475" s="7">
        <f t="shared" si="475"/>
        <v>30818.97</v>
      </c>
      <c r="I475" s="1">
        <v>28142.1</v>
      </c>
      <c r="J475" s="1">
        <f t="shared" si="447"/>
        <v>2676.8700000000026</v>
      </c>
      <c r="K475" s="1">
        <v>-2676.87</v>
      </c>
      <c r="L475" s="1">
        <f t="shared" si="476"/>
        <v>28142.100000000002</v>
      </c>
      <c r="M475" s="7">
        <f>37671.94-L475</f>
        <v>9529.84</v>
      </c>
      <c r="N475" s="1">
        <f t="shared" si="477"/>
        <v>37671.94</v>
      </c>
      <c r="O475" s="1">
        <v>37048.35</v>
      </c>
      <c r="P475" s="1">
        <f t="shared" si="478"/>
        <v>-623.59000000000378</v>
      </c>
      <c r="Q475" s="1">
        <f t="shared" si="479"/>
        <v>37048.35</v>
      </c>
      <c r="R475" s="41">
        <v>18857.02</v>
      </c>
      <c r="S475" s="1">
        <f t="shared" si="480"/>
        <v>-18191.329999999998</v>
      </c>
      <c r="T475" s="1">
        <f t="shared" si="481"/>
        <v>18857.02</v>
      </c>
      <c r="U475" s="41">
        <v>18857.02</v>
      </c>
      <c r="V475" s="1">
        <f t="shared" si="482"/>
        <v>0</v>
      </c>
      <c r="W475" s="1">
        <f t="shared" si="483"/>
        <v>18857.02</v>
      </c>
      <c r="X475" s="41">
        <v>21745.24</v>
      </c>
      <c r="Y475" s="41">
        <f t="shared" si="439"/>
        <v>2888.2200000000012</v>
      </c>
      <c r="Z475" s="1">
        <f t="shared" si="484"/>
        <v>21745.24</v>
      </c>
      <c r="AA475" s="41">
        <v>19845.66</v>
      </c>
      <c r="AB475" s="1">
        <f t="shared" si="488"/>
        <v>-1899.5800000000017</v>
      </c>
      <c r="AC475" s="1">
        <f t="shared" si="485"/>
        <v>19845.66</v>
      </c>
      <c r="AD475" s="41">
        <v>20144.5</v>
      </c>
      <c r="AE475" s="1">
        <f t="shared" si="486"/>
        <v>298.84000000000015</v>
      </c>
      <c r="AF475" s="1">
        <f t="shared" si="487"/>
        <v>20144.5</v>
      </c>
    </row>
    <row r="476" spans="1:32" outlineLevel="2">
      <c r="A476" s="11">
        <v>33600</v>
      </c>
      <c r="B476" s="11">
        <v>13002</v>
      </c>
      <c r="C476" s="11" t="s">
        <v>133</v>
      </c>
      <c r="D476" s="7">
        <v>0</v>
      </c>
      <c r="E476" s="7">
        <v>11490.58</v>
      </c>
      <c r="F476" s="7">
        <f t="shared" si="474"/>
        <v>-11490.58</v>
      </c>
      <c r="G476" s="7">
        <v>11490.58</v>
      </c>
      <c r="H476" s="7">
        <f t="shared" si="475"/>
        <v>11490.58</v>
      </c>
      <c r="I476" s="1">
        <v>28419.3</v>
      </c>
      <c r="J476" s="1">
        <f t="shared" si="447"/>
        <v>-16928.72</v>
      </c>
      <c r="K476" s="1">
        <v>16928.72</v>
      </c>
      <c r="L476" s="1">
        <f t="shared" si="476"/>
        <v>28419.300000000003</v>
      </c>
      <c r="M476" s="7">
        <f>37516.08-L476</f>
        <v>9096.7799999999988</v>
      </c>
      <c r="N476" s="1">
        <f t="shared" si="477"/>
        <v>37516.080000000002</v>
      </c>
      <c r="O476" s="1">
        <v>37516.080000000002</v>
      </c>
      <c r="P476" s="1">
        <f t="shared" si="478"/>
        <v>0</v>
      </c>
      <c r="Q476" s="1">
        <f t="shared" si="479"/>
        <v>37516.080000000002</v>
      </c>
      <c r="R476" s="41">
        <v>18278.259999999998</v>
      </c>
      <c r="S476" s="1">
        <f t="shared" si="480"/>
        <v>-19237.820000000003</v>
      </c>
      <c r="T476" s="1">
        <f t="shared" si="481"/>
        <v>18278.259999999998</v>
      </c>
      <c r="U476" s="1">
        <v>18278.259999999998</v>
      </c>
      <c r="V476" s="1">
        <f t="shared" si="482"/>
        <v>0</v>
      </c>
      <c r="W476" s="1">
        <f t="shared" si="483"/>
        <v>18278.259999999998</v>
      </c>
      <c r="X476" s="1">
        <v>18461.04</v>
      </c>
      <c r="Y476" s="41">
        <f t="shared" si="439"/>
        <v>182.78000000000247</v>
      </c>
      <c r="Z476" s="1">
        <f t="shared" si="484"/>
        <v>18461.04</v>
      </c>
      <c r="AA476" s="1">
        <v>18645.71</v>
      </c>
      <c r="AB476" s="1">
        <f t="shared" si="488"/>
        <v>184.66999999999825</v>
      </c>
      <c r="AC476" s="1">
        <f t="shared" si="485"/>
        <v>18645.71</v>
      </c>
      <c r="AD476" s="41">
        <v>18925.439999999999</v>
      </c>
      <c r="AE476" s="1">
        <f t="shared" si="486"/>
        <v>279.72999999999956</v>
      </c>
      <c r="AF476" s="1">
        <f t="shared" si="487"/>
        <v>18925.439999999999</v>
      </c>
    </row>
    <row r="477" spans="1:32" outlineLevel="2">
      <c r="A477" s="11">
        <v>33600</v>
      </c>
      <c r="B477" s="19">
        <v>15100</v>
      </c>
      <c r="C477" s="19" t="s">
        <v>459</v>
      </c>
      <c r="D477" s="20">
        <v>2400</v>
      </c>
      <c r="E477" s="20">
        <v>1400</v>
      </c>
      <c r="F477" s="20">
        <f t="shared" si="474"/>
        <v>1000</v>
      </c>
      <c r="G477" s="20">
        <v>-1000</v>
      </c>
      <c r="H477" s="20">
        <f t="shared" si="475"/>
        <v>1400</v>
      </c>
      <c r="I477" s="21">
        <v>1400</v>
      </c>
      <c r="J477" s="21">
        <f t="shared" si="447"/>
        <v>0</v>
      </c>
      <c r="K477" s="21">
        <v>0</v>
      </c>
      <c r="L477" s="21">
        <f t="shared" si="476"/>
        <v>1400</v>
      </c>
      <c r="N477" s="1">
        <f t="shared" si="477"/>
        <v>1400</v>
      </c>
      <c r="O477" s="1">
        <v>750</v>
      </c>
      <c r="P477" s="1">
        <f t="shared" si="478"/>
        <v>-650</v>
      </c>
      <c r="Q477" s="1">
        <f t="shared" si="479"/>
        <v>750</v>
      </c>
      <c r="S477" s="1">
        <f t="shared" si="480"/>
        <v>-750</v>
      </c>
      <c r="T477" s="1">
        <f t="shared" si="481"/>
        <v>0</v>
      </c>
      <c r="V477" s="1">
        <f t="shared" si="482"/>
        <v>0</v>
      </c>
      <c r="W477" s="1">
        <f t="shared" si="483"/>
        <v>0</v>
      </c>
      <c r="X477" s="1">
        <v>0</v>
      </c>
      <c r="Y477" s="41">
        <f t="shared" si="439"/>
        <v>0</v>
      </c>
      <c r="Z477" s="1">
        <f t="shared" si="484"/>
        <v>0</v>
      </c>
      <c r="AA477" s="1">
        <v>1000</v>
      </c>
      <c r="AB477" s="1">
        <f t="shared" si="488"/>
        <v>1000</v>
      </c>
      <c r="AC477" s="1">
        <f t="shared" si="485"/>
        <v>1000</v>
      </c>
      <c r="AD477" s="41">
        <v>1000</v>
      </c>
      <c r="AE477" s="1">
        <f t="shared" si="486"/>
        <v>0</v>
      </c>
      <c r="AF477" s="1">
        <f t="shared" si="487"/>
        <v>1000</v>
      </c>
    </row>
    <row r="478" spans="1:32" outlineLevel="2">
      <c r="A478" s="11">
        <v>33600</v>
      </c>
      <c r="B478" s="60">
        <v>16000</v>
      </c>
      <c r="C478" s="56" t="s">
        <v>752</v>
      </c>
      <c r="D478" s="62"/>
      <c r="E478" s="64"/>
      <c r="F478" s="62"/>
      <c r="G478" s="64"/>
      <c r="H478" s="62"/>
      <c r="I478" s="64"/>
      <c r="J478" s="62"/>
      <c r="K478" s="64"/>
      <c r="L478" s="62"/>
      <c r="M478" s="63"/>
      <c r="N478" s="53"/>
      <c r="O478" s="53"/>
      <c r="P478" s="53"/>
      <c r="Q478" s="53"/>
      <c r="R478" s="58"/>
      <c r="S478" s="53"/>
      <c r="T478" s="53">
        <f t="shared" si="481"/>
        <v>0</v>
      </c>
      <c r="U478" s="63"/>
      <c r="V478" s="53">
        <f t="shared" si="482"/>
        <v>0</v>
      </c>
      <c r="W478" s="53">
        <f t="shared" si="483"/>
        <v>0</v>
      </c>
      <c r="X478" s="1">
        <v>0</v>
      </c>
      <c r="Y478" s="41">
        <f t="shared" si="439"/>
        <v>0</v>
      </c>
      <c r="Z478" s="1">
        <f t="shared" si="484"/>
        <v>0</v>
      </c>
      <c r="AA478" s="1">
        <v>0</v>
      </c>
      <c r="AB478" s="1">
        <f t="shared" si="488"/>
        <v>0</v>
      </c>
      <c r="AC478" s="1">
        <f t="shared" si="485"/>
        <v>0</v>
      </c>
      <c r="AD478" s="41">
        <v>116882.83</v>
      </c>
      <c r="AE478" s="1">
        <f t="shared" si="486"/>
        <v>116882.83</v>
      </c>
      <c r="AF478" s="1">
        <f t="shared" si="487"/>
        <v>116882.83</v>
      </c>
    </row>
    <row r="479" spans="1:32" outlineLevel="2">
      <c r="A479" s="11">
        <v>33600</v>
      </c>
      <c r="B479" s="11">
        <v>20300</v>
      </c>
      <c r="C479" s="11" t="s">
        <v>460</v>
      </c>
      <c r="D479" s="7">
        <v>2404.0500000000002</v>
      </c>
      <c r="E479" s="7"/>
      <c r="F479" s="7">
        <f t="shared" si="474"/>
        <v>2404.0500000000002</v>
      </c>
      <c r="G479" s="7"/>
      <c r="H479" s="7">
        <f t="shared" si="475"/>
        <v>2404.0500000000002</v>
      </c>
      <c r="I479" s="1"/>
      <c r="J479" s="1">
        <f t="shared" si="447"/>
        <v>2404.0500000000002</v>
      </c>
      <c r="K479" s="1"/>
      <c r="L479" s="1">
        <f t="shared" si="476"/>
        <v>2404.0500000000002</v>
      </c>
      <c r="N479" s="1">
        <f t="shared" si="477"/>
        <v>2404.0500000000002</v>
      </c>
      <c r="O479" s="1"/>
      <c r="Q479" s="1">
        <f t="shared" si="479"/>
        <v>2404.0500000000002</v>
      </c>
      <c r="T479" s="1">
        <f t="shared" si="481"/>
        <v>2404.0500000000002</v>
      </c>
      <c r="U479" s="1">
        <f t="shared" si="481"/>
        <v>2404.0500000000002</v>
      </c>
      <c r="V479" s="1">
        <f t="shared" si="482"/>
        <v>0</v>
      </c>
      <c r="W479" s="1">
        <f t="shared" si="483"/>
        <v>2404.0500000000002</v>
      </c>
      <c r="X479" s="1">
        <v>2000</v>
      </c>
      <c r="Y479" s="41">
        <f t="shared" si="439"/>
        <v>-404.05000000000018</v>
      </c>
      <c r="Z479" s="1">
        <f t="shared" si="484"/>
        <v>2000</v>
      </c>
      <c r="AA479" s="1">
        <v>2000</v>
      </c>
      <c r="AB479" s="1">
        <f t="shared" si="488"/>
        <v>0</v>
      </c>
      <c r="AC479" s="1">
        <f t="shared" si="485"/>
        <v>2000</v>
      </c>
      <c r="AD479" s="41">
        <v>5000</v>
      </c>
      <c r="AE479" s="1">
        <f t="shared" si="486"/>
        <v>3000</v>
      </c>
      <c r="AF479" s="1">
        <f t="shared" si="487"/>
        <v>5000</v>
      </c>
    </row>
    <row r="480" spans="1:32" s="2" customFormat="1" outlineLevel="1">
      <c r="A480" s="11">
        <v>33600</v>
      </c>
      <c r="B480" s="11">
        <v>21200</v>
      </c>
      <c r="C480" s="11" t="s">
        <v>461</v>
      </c>
      <c r="D480" s="7">
        <v>15000</v>
      </c>
      <c r="E480" s="7"/>
      <c r="F480" s="7">
        <f t="shared" si="474"/>
        <v>15000</v>
      </c>
      <c r="G480" s="7">
        <v>-5000</v>
      </c>
      <c r="H480" s="7">
        <f t="shared" si="475"/>
        <v>10000</v>
      </c>
      <c r="I480" s="1"/>
      <c r="J480" s="1">
        <f t="shared" si="447"/>
        <v>10000</v>
      </c>
      <c r="K480" s="1"/>
      <c r="L480" s="1">
        <f t="shared" si="476"/>
        <v>10000</v>
      </c>
      <c r="M480" s="7">
        <v>-5000</v>
      </c>
      <c r="N480" s="1">
        <f t="shared" si="477"/>
        <v>5000</v>
      </c>
      <c r="O480" s="1"/>
      <c r="P480" s="16">
        <v>15000</v>
      </c>
      <c r="Q480" s="1">
        <f t="shared" si="479"/>
        <v>20000</v>
      </c>
      <c r="R480" s="3"/>
      <c r="S480" s="16"/>
      <c r="T480" s="1">
        <f t="shared" si="481"/>
        <v>20000</v>
      </c>
      <c r="U480" s="1">
        <f t="shared" si="481"/>
        <v>20000</v>
      </c>
      <c r="V480" s="1">
        <f t="shared" si="482"/>
        <v>0</v>
      </c>
      <c r="W480" s="1">
        <f t="shared" si="483"/>
        <v>20000</v>
      </c>
      <c r="X480" s="41">
        <v>15000</v>
      </c>
      <c r="Y480" s="41">
        <f t="shared" si="439"/>
        <v>-5000</v>
      </c>
      <c r="Z480" s="1">
        <f t="shared" si="484"/>
        <v>15000</v>
      </c>
      <c r="AA480" s="41">
        <v>20000</v>
      </c>
      <c r="AB480" s="1">
        <f t="shared" si="488"/>
        <v>5000</v>
      </c>
      <c r="AC480" s="1">
        <f t="shared" si="485"/>
        <v>20000</v>
      </c>
      <c r="AD480" s="41">
        <v>30000</v>
      </c>
      <c r="AE480" s="1">
        <f t="shared" si="486"/>
        <v>10000</v>
      </c>
      <c r="AF480" s="1">
        <f t="shared" si="487"/>
        <v>30000</v>
      </c>
    </row>
    <row r="481" spans="1:32" outlineLevel="2">
      <c r="A481" s="11">
        <v>33600</v>
      </c>
      <c r="B481" s="11">
        <v>21300</v>
      </c>
      <c r="C481" s="11" t="s">
        <v>462</v>
      </c>
      <c r="D481" s="7">
        <v>2404.0500000000002</v>
      </c>
      <c r="E481" s="7"/>
      <c r="F481" s="7">
        <f t="shared" si="474"/>
        <v>2404.0500000000002</v>
      </c>
      <c r="G481" s="7">
        <v>-404.05</v>
      </c>
      <c r="H481" s="7">
        <f t="shared" si="475"/>
        <v>2000.0000000000002</v>
      </c>
      <c r="I481" s="1"/>
      <c r="J481" s="1">
        <f t="shared" si="447"/>
        <v>2000.0000000000002</v>
      </c>
      <c r="K481" s="1"/>
      <c r="L481" s="1">
        <f t="shared" si="476"/>
        <v>2000.0000000000002</v>
      </c>
      <c r="N481" s="1">
        <f t="shared" si="477"/>
        <v>2000.0000000000002</v>
      </c>
      <c r="O481" s="1"/>
      <c r="Q481" s="1">
        <f t="shared" si="479"/>
        <v>2000.0000000000002</v>
      </c>
      <c r="T481" s="1">
        <f t="shared" si="481"/>
        <v>2000.0000000000002</v>
      </c>
      <c r="U481" s="1">
        <f t="shared" si="481"/>
        <v>2000.0000000000002</v>
      </c>
      <c r="V481" s="1">
        <f t="shared" si="482"/>
        <v>0</v>
      </c>
      <c r="W481" s="1">
        <f t="shared" si="483"/>
        <v>2000.0000000000002</v>
      </c>
      <c r="X481" s="1">
        <v>2000</v>
      </c>
      <c r="Y481" s="41">
        <f t="shared" si="439"/>
        <v>0</v>
      </c>
      <c r="Z481" s="1">
        <f t="shared" si="484"/>
        <v>2000.0000000000002</v>
      </c>
      <c r="AA481" s="1">
        <v>2000</v>
      </c>
      <c r="AB481" s="1">
        <f t="shared" si="488"/>
        <v>0</v>
      </c>
      <c r="AC481" s="1">
        <f t="shared" si="485"/>
        <v>2000.0000000000002</v>
      </c>
      <c r="AD481" s="41">
        <v>2000</v>
      </c>
      <c r="AE481" s="1">
        <f t="shared" si="486"/>
        <v>0</v>
      </c>
      <c r="AF481" s="1">
        <f t="shared" si="487"/>
        <v>2000.0000000000002</v>
      </c>
    </row>
    <row r="482" spans="1:32" outlineLevel="2">
      <c r="A482" s="11">
        <v>33600</v>
      </c>
      <c r="B482" s="11">
        <v>21500</v>
      </c>
      <c r="C482" s="11" t="s">
        <v>463</v>
      </c>
      <c r="D482" s="7">
        <v>3846.48</v>
      </c>
      <c r="E482" s="7"/>
      <c r="F482" s="7">
        <f t="shared" si="474"/>
        <v>3846.48</v>
      </c>
      <c r="G482" s="7">
        <v>-846.48</v>
      </c>
      <c r="H482" s="7">
        <f t="shared" si="475"/>
        <v>3000</v>
      </c>
      <c r="I482" s="1"/>
      <c r="J482" s="1">
        <f t="shared" si="447"/>
        <v>3000</v>
      </c>
      <c r="K482" s="1"/>
      <c r="L482" s="1">
        <f t="shared" si="476"/>
        <v>3000</v>
      </c>
      <c r="N482" s="1">
        <f t="shared" si="477"/>
        <v>3000</v>
      </c>
      <c r="O482" s="1"/>
      <c r="Q482" s="1">
        <f t="shared" si="479"/>
        <v>3000</v>
      </c>
      <c r="T482" s="1">
        <f t="shared" si="481"/>
        <v>3000</v>
      </c>
      <c r="U482" s="1">
        <f t="shared" si="481"/>
        <v>3000</v>
      </c>
      <c r="V482" s="1">
        <f t="shared" si="482"/>
        <v>0</v>
      </c>
      <c r="W482" s="1">
        <f t="shared" si="483"/>
        <v>3000</v>
      </c>
      <c r="X482" s="1">
        <v>1000</v>
      </c>
      <c r="Y482" s="41">
        <f t="shared" si="439"/>
        <v>-2000</v>
      </c>
      <c r="Z482" s="1">
        <f t="shared" si="484"/>
        <v>1000</v>
      </c>
      <c r="AA482" s="1">
        <v>1000</v>
      </c>
      <c r="AB482" s="1">
        <f t="shared" si="488"/>
        <v>0</v>
      </c>
      <c r="AC482" s="1">
        <f t="shared" si="485"/>
        <v>1000</v>
      </c>
      <c r="AD482" s="41">
        <v>0</v>
      </c>
      <c r="AE482" s="1">
        <f t="shared" si="486"/>
        <v>-1000</v>
      </c>
      <c r="AF482" s="1">
        <f t="shared" si="487"/>
        <v>0</v>
      </c>
    </row>
    <row r="483" spans="1:32" outlineLevel="2">
      <c r="A483" s="11">
        <v>33600</v>
      </c>
      <c r="B483" s="11">
        <v>22000</v>
      </c>
      <c r="C483" s="11" t="s">
        <v>464</v>
      </c>
      <c r="D483" s="7">
        <v>2404.0500000000002</v>
      </c>
      <c r="E483" s="7"/>
      <c r="F483" s="7">
        <f t="shared" si="474"/>
        <v>2404.0500000000002</v>
      </c>
      <c r="G483" s="7">
        <v>-1404.05</v>
      </c>
      <c r="H483" s="7">
        <f t="shared" si="475"/>
        <v>1000.0000000000002</v>
      </c>
      <c r="I483" s="1"/>
      <c r="J483" s="1">
        <f t="shared" si="447"/>
        <v>1000.0000000000002</v>
      </c>
      <c r="K483" s="1"/>
      <c r="L483" s="1">
        <f t="shared" si="476"/>
        <v>1000.0000000000002</v>
      </c>
      <c r="N483" s="1">
        <f t="shared" si="477"/>
        <v>1000.0000000000002</v>
      </c>
      <c r="O483" s="1"/>
      <c r="Q483" s="1">
        <f t="shared" si="479"/>
        <v>1000.0000000000002</v>
      </c>
      <c r="T483" s="1">
        <f t="shared" si="481"/>
        <v>1000.0000000000002</v>
      </c>
      <c r="U483" s="1">
        <f t="shared" si="481"/>
        <v>1000.0000000000002</v>
      </c>
      <c r="V483" s="1">
        <f t="shared" si="482"/>
        <v>0</v>
      </c>
      <c r="W483" s="1">
        <f t="shared" si="483"/>
        <v>1000.0000000000002</v>
      </c>
      <c r="X483" s="1">
        <v>1000</v>
      </c>
      <c r="Y483" s="41">
        <f t="shared" si="439"/>
        <v>0</v>
      </c>
      <c r="Z483" s="1">
        <f t="shared" si="484"/>
        <v>1000.0000000000002</v>
      </c>
      <c r="AA483" s="1">
        <v>1000</v>
      </c>
      <c r="AB483" s="1">
        <f t="shared" si="488"/>
        <v>0</v>
      </c>
      <c r="AC483" s="1">
        <f t="shared" si="485"/>
        <v>1000.0000000000002</v>
      </c>
      <c r="AD483" s="41">
        <v>0</v>
      </c>
      <c r="AE483" s="1">
        <f t="shared" si="486"/>
        <v>-1000.0000000000002</v>
      </c>
      <c r="AF483" s="1">
        <f t="shared" si="487"/>
        <v>0</v>
      </c>
    </row>
    <row r="484" spans="1:32" outlineLevel="2">
      <c r="A484" s="11">
        <v>33600</v>
      </c>
      <c r="B484" s="11">
        <v>22001</v>
      </c>
      <c r="C484" s="39" t="s">
        <v>813</v>
      </c>
      <c r="D484" s="7"/>
      <c r="E484" s="7"/>
      <c r="F484" s="7"/>
      <c r="G484" s="7"/>
      <c r="H484" s="7"/>
      <c r="I484" s="1"/>
      <c r="J484" s="1"/>
      <c r="K484" s="1"/>
      <c r="L484" s="1"/>
      <c r="N484" s="1"/>
      <c r="O484" s="1"/>
      <c r="T484" s="1"/>
      <c r="V484" s="1"/>
      <c r="W484" s="1">
        <v>0</v>
      </c>
      <c r="X484" s="1">
        <v>3000</v>
      </c>
      <c r="Y484" s="41">
        <f t="shared" ref="Y484" si="489">X484-W484</f>
        <v>3000</v>
      </c>
      <c r="Z484" s="1">
        <f t="shared" ref="Z484" si="490">W484+Y484</f>
        <v>3000</v>
      </c>
      <c r="AA484" s="1">
        <f>12000+3000+3000</f>
        <v>18000</v>
      </c>
      <c r="AB484" s="1">
        <f t="shared" si="488"/>
        <v>15000</v>
      </c>
      <c r="AC484" s="1">
        <f t="shared" si="485"/>
        <v>18000</v>
      </c>
      <c r="AD484" s="41">
        <v>5000</v>
      </c>
      <c r="AE484" s="1">
        <f t="shared" si="486"/>
        <v>-13000</v>
      </c>
      <c r="AF484" s="1">
        <f t="shared" si="487"/>
        <v>5000</v>
      </c>
    </row>
    <row r="485" spans="1:32" outlineLevel="2">
      <c r="A485" s="11">
        <v>33600</v>
      </c>
      <c r="B485" s="11">
        <v>22101</v>
      </c>
      <c r="C485" s="39" t="s">
        <v>248</v>
      </c>
      <c r="D485" s="7"/>
      <c r="E485" s="7"/>
      <c r="F485" s="7"/>
      <c r="G485" s="7"/>
      <c r="H485" s="7"/>
      <c r="I485" s="1"/>
      <c r="J485" s="1"/>
      <c r="K485" s="1"/>
      <c r="L485" s="1"/>
      <c r="N485" s="1"/>
      <c r="O485" s="1"/>
      <c r="T485" s="1"/>
      <c r="V485" s="1"/>
      <c r="W485" s="1"/>
      <c r="Y485" s="41"/>
      <c r="Z485" s="1"/>
      <c r="AB485" s="1"/>
      <c r="AC485" s="1">
        <v>0</v>
      </c>
      <c r="AD485" s="41">
        <v>100</v>
      </c>
      <c r="AE485" s="1">
        <f t="shared" ref="AE485" si="491">AD485-AC485</f>
        <v>100</v>
      </c>
      <c r="AF485" s="1">
        <f t="shared" ref="AF485" si="492">AC485+AE485</f>
        <v>100</v>
      </c>
    </row>
    <row r="486" spans="1:32" outlineLevel="2">
      <c r="A486" s="11">
        <v>33600</v>
      </c>
      <c r="B486" s="11">
        <v>22199</v>
      </c>
      <c r="C486" s="39" t="s">
        <v>791</v>
      </c>
      <c r="D486" s="7"/>
      <c r="E486" s="7"/>
      <c r="F486" s="7"/>
      <c r="G486" s="7"/>
      <c r="H486" s="7"/>
      <c r="I486" s="1"/>
      <c r="J486" s="1"/>
      <c r="K486" s="1"/>
      <c r="L486" s="1"/>
      <c r="N486" s="1"/>
      <c r="O486" s="1"/>
      <c r="T486" s="1"/>
      <c r="V486" s="1"/>
      <c r="W486" s="1">
        <v>0</v>
      </c>
      <c r="X486" s="1">
        <v>10000</v>
      </c>
      <c r="Y486" s="41">
        <f t="shared" ref="Y486" si="493">X486-W486</f>
        <v>10000</v>
      </c>
      <c r="Z486" s="1">
        <f t="shared" ref="Z486" si="494">W486+Y486</f>
        <v>10000</v>
      </c>
      <c r="AA486" s="1">
        <v>5000</v>
      </c>
      <c r="AB486" s="1">
        <f t="shared" si="488"/>
        <v>-5000</v>
      </c>
      <c r="AC486" s="1">
        <f t="shared" si="485"/>
        <v>5000</v>
      </c>
      <c r="AD486" s="41">
        <v>5000</v>
      </c>
      <c r="AE486" s="1">
        <f t="shared" si="486"/>
        <v>0</v>
      </c>
      <c r="AF486" s="1">
        <f t="shared" si="487"/>
        <v>5000</v>
      </c>
    </row>
    <row r="487" spans="1:32" outlineLevel="2">
      <c r="A487" s="11">
        <v>33600</v>
      </c>
      <c r="B487" s="11">
        <v>22300</v>
      </c>
      <c r="C487" s="11" t="s">
        <v>465</v>
      </c>
      <c r="D487" s="7">
        <v>2404.0500000000002</v>
      </c>
      <c r="E487" s="7"/>
      <c r="F487" s="7">
        <f t="shared" si="474"/>
        <v>2404.0500000000002</v>
      </c>
      <c r="G487" s="7">
        <v>-1404.05</v>
      </c>
      <c r="H487" s="7">
        <f t="shared" si="475"/>
        <v>1000.0000000000002</v>
      </c>
      <c r="I487" s="1"/>
      <c r="J487" s="1">
        <f t="shared" si="447"/>
        <v>1000.0000000000002</v>
      </c>
      <c r="K487" s="1"/>
      <c r="L487" s="1">
        <f t="shared" si="476"/>
        <v>1000.0000000000002</v>
      </c>
      <c r="N487" s="1">
        <f t="shared" si="477"/>
        <v>1000.0000000000002</v>
      </c>
      <c r="O487" s="1"/>
      <c r="Q487" s="1">
        <f t="shared" si="479"/>
        <v>1000.0000000000002</v>
      </c>
      <c r="T487" s="1">
        <f t="shared" si="481"/>
        <v>1000.0000000000002</v>
      </c>
      <c r="U487" s="1">
        <f t="shared" si="481"/>
        <v>1000.0000000000002</v>
      </c>
      <c r="V487" s="1">
        <f t="shared" si="482"/>
        <v>0</v>
      </c>
      <c r="W487" s="1">
        <f t="shared" si="483"/>
        <v>1000.0000000000002</v>
      </c>
      <c r="X487" s="1">
        <v>0</v>
      </c>
      <c r="Y487" s="41">
        <f t="shared" si="439"/>
        <v>-1000.0000000000002</v>
      </c>
      <c r="Z487" s="1">
        <f t="shared" si="484"/>
        <v>0</v>
      </c>
      <c r="AA487" s="1">
        <v>0</v>
      </c>
      <c r="AB487" s="1">
        <f t="shared" si="488"/>
        <v>0</v>
      </c>
      <c r="AC487" s="1">
        <f t="shared" si="485"/>
        <v>0</v>
      </c>
      <c r="AD487" s="41">
        <v>0</v>
      </c>
      <c r="AE487" s="1">
        <f t="shared" si="486"/>
        <v>0</v>
      </c>
      <c r="AF487" s="1">
        <f t="shared" si="487"/>
        <v>0</v>
      </c>
    </row>
    <row r="488" spans="1:32" outlineLevel="2">
      <c r="A488" s="11">
        <v>33600</v>
      </c>
      <c r="B488" s="11">
        <v>22602</v>
      </c>
      <c r="C488" s="11" t="s">
        <v>466</v>
      </c>
      <c r="D488" s="7">
        <v>4808.1000000000004</v>
      </c>
      <c r="E488" s="7"/>
      <c r="F488" s="7">
        <f t="shared" si="474"/>
        <v>4808.1000000000004</v>
      </c>
      <c r="G488" s="7">
        <v>-1808.1</v>
      </c>
      <c r="H488" s="7">
        <f t="shared" si="475"/>
        <v>3000.0000000000005</v>
      </c>
      <c r="I488" s="1"/>
      <c r="J488" s="1">
        <f t="shared" si="447"/>
        <v>3000.0000000000005</v>
      </c>
      <c r="K488" s="1"/>
      <c r="L488" s="1">
        <f t="shared" si="476"/>
        <v>3000.0000000000005</v>
      </c>
      <c r="M488" s="7">
        <v>-500</v>
      </c>
      <c r="N488" s="1">
        <f t="shared" si="477"/>
        <v>2500.0000000000005</v>
      </c>
      <c r="O488" s="1"/>
      <c r="P488" s="1">
        <v>1000</v>
      </c>
      <c r="Q488" s="1">
        <f t="shared" si="479"/>
        <v>3500.0000000000005</v>
      </c>
      <c r="T488" s="1">
        <f t="shared" si="481"/>
        <v>3500.0000000000005</v>
      </c>
      <c r="U488" s="1">
        <f t="shared" si="481"/>
        <v>3500.0000000000005</v>
      </c>
      <c r="V488" s="1">
        <f t="shared" si="482"/>
        <v>0</v>
      </c>
      <c r="W488" s="1">
        <f t="shared" si="483"/>
        <v>3500.0000000000005</v>
      </c>
      <c r="X488" s="41">
        <v>0</v>
      </c>
      <c r="Y488" s="41">
        <f t="shared" si="439"/>
        <v>-3500.0000000000005</v>
      </c>
      <c r="Z488" s="1">
        <f t="shared" si="484"/>
        <v>0</v>
      </c>
      <c r="AA488" s="1">
        <v>0</v>
      </c>
      <c r="AB488" s="1">
        <f t="shared" si="488"/>
        <v>0</v>
      </c>
      <c r="AC488" s="1">
        <f t="shared" si="485"/>
        <v>0</v>
      </c>
      <c r="AD488" s="41">
        <v>0</v>
      </c>
      <c r="AE488" s="1">
        <f t="shared" si="486"/>
        <v>0</v>
      </c>
      <c r="AF488" s="1">
        <f t="shared" si="487"/>
        <v>0</v>
      </c>
    </row>
    <row r="489" spans="1:32" outlineLevel="2">
      <c r="A489" s="11">
        <v>33600</v>
      </c>
      <c r="B489" s="11">
        <v>22606</v>
      </c>
      <c r="C489" s="11" t="s">
        <v>653</v>
      </c>
      <c r="D489" s="7">
        <v>35000</v>
      </c>
      <c r="E489" s="7"/>
      <c r="F489" s="7">
        <f t="shared" si="474"/>
        <v>35000</v>
      </c>
      <c r="G489" s="7">
        <v>-10000</v>
      </c>
      <c r="H489" s="7">
        <f t="shared" si="475"/>
        <v>25000</v>
      </c>
      <c r="I489" s="1"/>
      <c r="J489" s="1">
        <f t="shared" si="447"/>
        <v>25000</v>
      </c>
      <c r="K489" s="1"/>
      <c r="L489" s="1">
        <f t="shared" si="476"/>
        <v>25000</v>
      </c>
      <c r="M489" s="7">
        <v>-10000</v>
      </c>
      <c r="N489" s="1">
        <f t="shared" si="477"/>
        <v>15000</v>
      </c>
      <c r="O489" s="1"/>
      <c r="Q489" s="1">
        <f t="shared" si="479"/>
        <v>15000</v>
      </c>
      <c r="T489" s="1">
        <f t="shared" si="481"/>
        <v>15000</v>
      </c>
      <c r="U489" s="1">
        <f t="shared" si="481"/>
        <v>15000</v>
      </c>
      <c r="V489" s="1">
        <f t="shared" si="482"/>
        <v>0</v>
      </c>
      <c r="W489" s="1">
        <f t="shared" si="483"/>
        <v>15000</v>
      </c>
      <c r="X489" s="1">
        <v>8000</v>
      </c>
      <c r="Y489" s="41">
        <f t="shared" si="439"/>
        <v>-7000</v>
      </c>
      <c r="Z489" s="1">
        <f t="shared" si="484"/>
        <v>8000</v>
      </c>
      <c r="AA489" s="1">
        <v>8000</v>
      </c>
      <c r="AB489" s="1">
        <f t="shared" si="488"/>
        <v>0</v>
      </c>
      <c r="AC489" s="1">
        <f t="shared" si="485"/>
        <v>8000</v>
      </c>
      <c r="AD489" s="41">
        <v>1000</v>
      </c>
      <c r="AE489" s="1">
        <f t="shared" si="486"/>
        <v>-7000</v>
      </c>
      <c r="AF489" s="1">
        <f t="shared" si="487"/>
        <v>1000</v>
      </c>
    </row>
    <row r="490" spans="1:32" outlineLevel="2">
      <c r="A490" s="11">
        <v>33600</v>
      </c>
      <c r="B490" s="11">
        <v>22699</v>
      </c>
      <c r="C490" s="52" t="s">
        <v>790</v>
      </c>
      <c r="D490" s="7"/>
      <c r="E490" s="7"/>
      <c r="F490" s="7"/>
      <c r="G490" s="7"/>
      <c r="H490" s="7"/>
      <c r="I490" s="1"/>
      <c r="J490" s="1"/>
      <c r="K490" s="1"/>
      <c r="L490" s="1"/>
      <c r="N490" s="1">
        <v>0</v>
      </c>
      <c r="O490" s="1"/>
      <c r="P490" s="1">
        <v>25000</v>
      </c>
      <c r="Q490" s="1">
        <f t="shared" si="479"/>
        <v>25000</v>
      </c>
      <c r="S490" s="1">
        <f>-25000+13000</f>
        <v>-12000</v>
      </c>
      <c r="T490" s="1">
        <f t="shared" si="481"/>
        <v>13000</v>
      </c>
      <c r="U490" s="1">
        <f t="shared" si="481"/>
        <v>13000</v>
      </c>
      <c r="V490" s="1">
        <f t="shared" si="482"/>
        <v>0</v>
      </c>
      <c r="W490" s="1">
        <f t="shared" si="483"/>
        <v>13000</v>
      </c>
      <c r="X490" s="1">
        <v>13000</v>
      </c>
      <c r="Y490" s="41">
        <f t="shared" si="439"/>
        <v>0</v>
      </c>
      <c r="Z490" s="1">
        <f t="shared" si="484"/>
        <v>13000</v>
      </c>
      <c r="AA490" s="1">
        <v>13000</v>
      </c>
      <c r="AB490" s="1">
        <f t="shared" si="488"/>
        <v>0</v>
      </c>
      <c r="AC490" s="1">
        <f t="shared" si="485"/>
        <v>13000</v>
      </c>
      <c r="AD490" s="41">
        <v>20000</v>
      </c>
      <c r="AE490" s="1">
        <f t="shared" si="486"/>
        <v>7000</v>
      </c>
      <c r="AF490" s="1">
        <f t="shared" si="487"/>
        <v>20000</v>
      </c>
    </row>
    <row r="491" spans="1:32" outlineLevel="2">
      <c r="A491" s="11">
        <v>33600</v>
      </c>
      <c r="B491" s="11">
        <v>22706</v>
      </c>
      <c r="C491" s="42" t="s">
        <v>898</v>
      </c>
      <c r="D491" s="7">
        <v>7212.14</v>
      </c>
      <c r="E491" s="7"/>
      <c r="F491" s="7">
        <f t="shared" si="474"/>
        <v>7212.14</v>
      </c>
      <c r="G491" s="7">
        <v>-2212.14</v>
      </c>
      <c r="H491" s="7">
        <f t="shared" si="475"/>
        <v>5000</v>
      </c>
      <c r="I491" s="1"/>
      <c r="J491" s="1">
        <f t="shared" si="447"/>
        <v>5000</v>
      </c>
      <c r="K491" s="1"/>
      <c r="L491" s="1">
        <f t="shared" si="476"/>
        <v>5000</v>
      </c>
      <c r="N491" s="1">
        <f t="shared" si="477"/>
        <v>5000</v>
      </c>
      <c r="O491" s="1"/>
      <c r="Q491" s="1">
        <f t="shared" si="479"/>
        <v>5000</v>
      </c>
      <c r="T491" s="1">
        <f t="shared" si="481"/>
        <v>5000</v>
      </c>
      <c r="U491" s="1">
        <f t="shared" si="481"/>
        <v>5000</v>
      </c>
      <c r="V491" s="1">
        <f t="shared" si="482"/>
        <v>0</v>
      </c>
      <c r="W491" s="1">
        <f t="shared" si="483"/>
        <v>5000</v>
      </c>
      <c r="X491" s="1">
        <v>5000</v>
      </c>
      <c r="Y491" s="41">
        <f t="shared" si="439"/>
        <v>0</v>
      </c>
      <c r="Z491" s="1">
        <f t="shared" si="484"/>
        <v>5000</v>
      </c>
      <c r="AA491" s="1">
        <f>30000</f>
        <v>30000</v>
      </c>
      <c r="AB491" s="1">
        <f t="shared" si="488"/>
        <v>25000</v>
      </c>
      <c r="AC491" s="1">
        <f t="shared" si="485"/>
        <v>30000</v>
      </c>
      <c r="AD491" s="41">
        <v>40000</v>
      </c>
      <c r="AE491" s="1">
        <f t="shared" si="486"/>
        <v>10000</v>
      </c>
      <c r="AF491" s="1">
        <f t="shared" si="487"/>
        <v>40000</v>
      </c>
    </row>
    <row r="492" spans="1:32" outlineLevel="2">
      <c r="A492" s="11">
        <v>33600</v>
      </c>
      <c r="B492" s="11">
        <v>23020</v>
      </c>
      <c r="C492" s="11" t="s">
        <v>467</v>
      </c>
      <c r="D492" s="7">
        <v>1202.02</v>
      </c>
      <c r="E492" s="7"/>
      <c r="F492" s="7">
        <f t="shared" si="474"/>
        <v>1202.02</v>
      </c>
      <c r="G492" s="7">
        <v>-202.02</v>
      </c>
      <c r="H492" s="7">
        <f t="shared" si="475"/>
        <v>1000</v>
      </c>
      <c r="I492" s="1"/>
      <c r="J492" s="1">
        <f t="shared" si="447"/>
        <v>1000</v>
      </c>
      <c r="K492" s="1"/>
      <c r="L492" s="1">
        <f t="shared" si="476"/>
        <v>1000</v>
      </c>
      <c r="M492" s="8"/>
      <c r="N492" s="1">
        <f t="shared" si="477"/>
        <v>1000</v>
      </c>
      <c r="O492" s="1"/>
      <c r="Q492" s="1">
        <f t="shared" si="479"/>
        <v>1000</v>
      </c>
      <c r="T492" s="1">
        <f t="shared" si="481"/>
        <v>1000</v>
      </c>
      <c r="U492" s="1">
        <f t="shared" si="481"/>
        <v>1000</v>
      </c>
      <c r="V492" s="1">
        <f t="shared" si="482"/>
        <v>0</v>
      </c>
      <c r="W492" s="1">
        <f t="shared" si="483"/>
        <v>1000</v>
      </c>
      <c r="X492" s="1">
        <v>500</v>
      </c>
      <c r="Y492" s="41">
        <f t="shared" si="439"/>
        <v>-500</v>
      </c>
      <c r="Z492" s="1">
        <f t="shared" si="484"/>
        <v>500</v>
      </c>
      <c r="AA492" s="1">
        <v>1000</v>
      </c>
      <c r="AB492" s="1">
        <f t="shared" si="488"/>
        <v>500</v>
      </c>
      <c r="AC492" s="1">
        <f t="shared" si="485"/>
        <v>1000</v>
      </c>
      <c r="AD492" s="41">
        <v>1000</v>
      </c>
      <c r="AE492" s="1">
        <f t="shared" si="486"/>
        <v>0</v>
      </c>
      <c r="AF492" s="1">
        <f t="shared" si="487"/>
        <v>1000</v>
      </c>
    </row>
    <row r="493" spans="1:32" outlineLevel="2">
      <c r="A493" s="11">
        <v>33600</v>
      </c>
      <c r="B493" s="11">
        <v>23120</v>
      </c>
      <c r="C493" s="11" t="s">
        <v>468</v>
      </c>
      <c r="D493" s="7">
        <v>1923.24</v>
      </c>
      <c r="E493" s="7"/>
      <c r="F493" s="7">
        <f t="shared" si="474"/>
        <v>1923.24</v>
      </c>
      <c r="G493" s="7"/>
      <c r="H493" s="7">
        <f t="shared" si="475"/>
        <v>1923.24</v>
      </c>
      <c r="I493" s="1"/>
      <c r="J493" s="1">
        <f t="shared" ref="J493:J566" si="495">H493-I493</f>
        <v>1923.24</v>
      </c>
      <c r="K493" s="1"/>
      <c r="L493" s="1">
        <f t="shared" si="476"/>
        <v>1923.24</v>
      </c>
      <c r="N493" s="1">
        <f t="shared" si="477"/>
        <v>1923.24</v>
      </c>
      <c r="O493" s="1"/>
      <c r="Q493" s="1">
        <f t="shared" si="479"/>
        <v>1923.24</v>
      </c>
      <c r="T493" s="1">
        <f t="shared" si="481"/>
        <v>1923.24</v>
      </c>
      <c r="U493" s="1">
        <f t="shared" si="481"/>
        <v>1923.24</v>
      </c>
      <c r="V493" s="1">
        <f t="shared" si="482"/>
        <v>0</v>
      </c>
      <c r="W493" s="1">
        <f t="shared" si="483"/>
        <v>1923.24</v>
      </c>
      <c r="X493" s="1">
        <v>500</v>
      </c>
      <c r="Y493" s="41">
        <f t="shared" ref="Y493:Y561" si="496">X493-W493</f>
        <v>-1423.24</v>
      </c>
      <c r="Z493" s="1">
        <f t="shared" si="484"/>
        <v>500</v>
      </c>
      <c r="AA493" s="1">
        <v>1900</v>
      </c>
      <c r="AB493" s="1">
        <f t="shared" si="488"/>
        <v>1400</v>
      </c>
      <c r="AC493" s="1">
        <f t="shared" si="485"/>
        <v>1900</v>
      </c>
      <c r="AD493" s="41">
        <v>1000</v>
      </c>
      <c r="AE493" s="1">
        <f t="shared" si="486"/>
        <v>-900</v>
      </c>
      <c r="AF493" s="1">
        <f t="shared" si="487"/>
        <v>1000</v>
      </c>
    </row>
    <row r="494" spans="1:32" outlineLevel="2">
      <c r="A494" s="11">
        <v>33600</v>
      </c>
      <c r="B494" s="11">
        <v>61900</v>
      </c>
      <c r="C494" s="42" t="s">
        <v>918</v>
      </c>
      <c r="D494" s="7"/>
      <c r="E494" s="7"/>
      <c r="F494" s="7"/>
      <c r="G494" s="7"/>
      <c r="H494" s="7"/>
      <c r="I494" s="1"/>
      <c r="J494" s="1"/>
      <c r="K494" s="1"/>
      <c r="L494" s="1"/>
      <c r="N494" s="1"/>
      <c r="O494" s="1"/>
      <c r="T494" s="1"/>
      <c r="V494" s="1"/>
      <c r="W494" s="1"/>
      <c r="Y494" s="41"/>
      <c r="Z494" s="1"/>
      <c r="AB494" s="1"/>
      <c r="AC494" s="1">
        <v>0</v>
      </c>
      <c r="AD494" s="41">
        <f>316461.22+30000</f>
        <v>346461.22</v>
      </c>
      <c r="AE494" s="1">
        <f t="shared" ref="AE494" si="497">AD494-AC494</f>
        <v>346461.22</v>
      </c>
      <c r="AF494" s="1">
        <f t="shared" ref="AF494" si="498">AC494+AE494</f>
        <v>346461.22</v>
      </c>
    </row>
    <row r="495" spans="1:32" outlineLevel="2">
      <c r="A495" s="39">
        <v>33600</v>
      </c>
      <c r="B495" s="11">
        <v>62300</v>
      </c>
      <c r="C495" s="39" t="s">
        <v>814</v>
      </c>
      <c r="D495" s="7"/>
      <c r="E495" s="7"/>
      <c r="F495" s="7"/>
      <c r="G495" s="7"/>
      <c r="H495" s="7"/>
      <c r="I495" s="1"/>
      <c r="J495" s="1"/>
      <c r="K495" s="1"/>
      <c r="L495" s="1"/>
      <c r="N495" s="1"/>
      <c r="O495" s="1"/>
      <c r="T495" s="1"/>
      <c r="V495" s="1"/>
      <c r="W495" s="1">
        <v>0</v>
      </c>
      <c r="X495" s="1">
        <v>5000</v>
      </c>
      <c r="Y495" s="41">
        <f t="shared" ref="Y495" si="499">X495-W495</f>
        <v>5000</v>
      </c>
      <c r="Z495" s="1">
        <f t="shared" ref="Z495" si="500">W495+Y495</f>
        <v>5000</v>
      </c>
      <c r="AA495" s="1">
        <f>20000+60000</f>
        <v>80000</v>
      </c>
      <c r="AB495" s="1">
        <f t="shared" si="488"/>
        <v>75000</v>
      </c>
      <c r="AC495" s="1">
        <f t="shared" si="485"/>
        <v>80000</v>
      </c>
      <c r="AD495" s="41">
        <f>46000+7000</f>
        <v>53000</v>
      </c>
      <c r="AE495" s="1">
        <f t="shared" si="486"/>
        <v>-27000</v>
      </c>
      <c r="AF495" s="1">
        <f t="shared" si="487"/>
        <v>53000</v>
      </c>
    </row>
    <row r="496" spans="1:32" outlineLevel="2">
      <c r="A496" s="9" t="s">
        <v>15</v>
      </c>
      <c r="B496" s="9"/>
      <c r="C496" s="9" t="s">
        <v>43</v>
      </c>
      <c r="D496" s="8">
        <f t="shared" ref="D496:V496" si="501">SUBTOTAL(9,D469:D493)</f>
        <v>411123.11</v>
      </c>
      <c r="E496" s="8">
        <f t="shared" si="501"/>
        <v>329989.76999999996</v>
      </c>
      <c r="F496" s="8">
        <f t="shared" si="501"/>
        <v>81133.34000000004</v>
      </c>
      <c r="G496" s="8">
        <f t="shared" si="501"/>
        <v>-25806.05</v>
      </c>
      <c r="H496" s="8">
        <f t="shared" si="501"/>
        <v>385317.05999999994</v>
      </c>
      <c r="I496" s="8">
        <f t="shared" si="501"/>
        <v>560694.6100000001</v>
      </c>
      <c r="J496" s="8">
        <f t="shared" si="501"/>
        <v>-175377.55000000002</v>
      </c>
      <c r="K496" s="8">
        <f t="shared" si="501"/>
        <v>230704.84</v>
      </c>
      <c r="L496" s="8">
        <f t="shared" si="501"/>
        <v>616021.9</v>
      </c>
      <c r="M496" s="8">
        <f t="shared" si="501"/>
        <v>-195300.15</v>
      </c>
      <c r="N496" s="8">
        <f t="shared" si="501"/>
        <v>420721.75</v>
      </c>
      <c r="O496" s="8">
        <f t="shared" si="501"/>
        <v>379727.86</v>
      </c>
      <c r="P496" s="8">
        <f t="shared" si="501"/>
        <v>39833.4</v>
      </c>
      <c r="Q496" s="8">
        <f t="shared" si="501"/>
        <v>460555.14999999997</v>
      </c>
      <c r="S496" s="8">
        <f t="shared" si="501"/>
        <v>-32013.139999999992</v>
      </c>
      <c r="T496" s="8">
        <f t="shared" si="501"/>
        <v>428542.01</v>
      </c>
      <c r="U496" s="8">
        <f t="shared" si="501"/>
        <v>412107.21</v>
      </c>
      <c r="V496" s="8">
        <f t="shared" si="501"/>
        <v>-16434.800000000017</v>
      </c>
      <c r="W496" s="8">
        <f>SUBTOTAL(9,W469:W495)</f>
        <v>412107.21</v>
      </c>
      <c r="X496" s="8">
        <f t="shared" ref="X496:AE496" si="502">SUBTOTAL(9,X469:X495)</f>
        <v>443250.08999999997</v>
      </c>
      <c r="Y496" s="8">
        <f t="shared" si="502"/>
        <v>31142.879999999994</v>
      </c>
      <c r="Z496" s="8">
        <f t="shared" si="502"/>
        <v>443250.08999999997</v>
      </c>
      <c r="AA496" s="8">
        <f t="shared" si="502"/>
        <v>572270.40999999992</v>
      </c>
      <c r="AB496" s="8">
        <f t="shared" si="502"/>
        <v>129020.32</v>
      </c>
      <c r="AC496" s="8">
        <f t="shared" si="502"/>
        <v>572270.40999999992</v>
      </c>
      <c r="AD496" s="8">
        <f t="shared" si="502"/>
        <v>1023051.61</v>
      </c>
      <c r="AE496" s="8">
        <f t="shared" si="502"/>
        <v>450781.19999999995</v>
      </c>
      <c r="AF496" s="3">
        <f t="shared" si="487"/>
        <v>1023051.6099999999</v>
      </c>
    </row>
    <row r="497" spans="1:32" outlineLevel="2">
      <c r="A497" s="13">
        <v>33700</v>
      </c>
      <c r="B497" s="13">
        <v>12003</v>
      </c>
      <c r="C497" s="11" t="s">
        <v>663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>
        <v>0</v>
      </c>
      <c r="O497" s="10">
        <v>9884.84</v>
      </c>
      <c r="P497" s="1">
        <f t="shared" ref="P497:P503" si="503">O497-N497</f>
        <v>9884.84</v>
      </c>
      <c r="Q497" s="1">
        <f t="shared" ref="Q497:Q535" si="504">N497+P497</f>
        <v>9884.84</v>
      </c>
      <c r="R497" s="1">
        <v>9884.84</v>
      </c>
      <c r="S497" s="1">
        <f t="shared" ref="S497:S506" si="505">R497-Q497</f>
        <v>0</v>
      </c>
      <c r="T497" s="1">
        <f t="shared" ref="T497:U535" si="506">Q497+S497</f>
        <v>9884.84</v>
      </c>
      <c r="U497" s="1">
        <v>9884.84</v>
      </c>
      <c r="V497" s="1">
        <f t="shared" ref="V497:V561" si="507">U497-T497</f>
        <v>0</v>
      </c>
      <c r="W497" s="1">
        <f t="shared" ref="W497:W535" si="508">T497+V497</f>
        <v>9884.84</v>
      </c>
      <c r="X497" s="1">
        <v>10457.77</v>
      </c>
      <c r="Y497" s="41">
        <f t="shared" si="496"/>
        <v>572.93000000000029</v>
      </c>
      <c r="Z497" s="1">
        <f t="shared" ref="Z497:AA535" si="509">W497+Y497</f>
        <v>10457.77</v>
      </c>
      <c r="AA497" s="1">
        <v>10083.65</v>
      </c>
      <c r="AB497" s="1">
        <f t="shared" ref="AB497:AB552" si="510">AA497-Z497</f>
        <v>-374.1200000000008</v>
      </c>
      <c r="AC497" s="1">
        <f t="shared" ref="AC497:AC535" si="511">Z497+AB497</f>
        <v>10083.65</v>
      </c>
      <c r="AD497" s="41">
        <v>20470.02</v>
      </c>
      <c r="AE497" s="1">
        <f t="shared" si="486"/>
        <v>10386.370000000001</v>
      </c>
      <c r="AF497" s="1">
        <f t="shared" si="487"/>
        <v>20470.02</v>
      </c>
    </row>
    <row r="498" spans="1:32" outlineLevel="2">
      <c r="A498" s="11">
        <v>33700</v>
      </c>
      <c r="B498" s="11">
        <v>12004</v>
      </c>
      <c r="C498" s="11" t="s">
        <v>600</v>
      </c>
      <c r="D498" s="7"/>
      <c r="E498" s="7"/>
      <c r="F498" s="7"/>
      <c r="G498" s="7"/>
      <c r="H498" s="7">
        <v>0</v>
      </c>
      <c r="I498" s="1">
        <v>14662.52</v>
      </c>
      <c r="J498" s="1">
        <f t="shared" si="495"/>
        <v>-14662.52</v>
      </c>
      <c r="K498" s="1">
        <v>14662.52</v>
      </c>
      <c r="L498" s="1">
        <f t="shared" ref="L498:L518" si="512">H498+K498</f>
        <v>14662.52</v>
      </c>
      <c r="M498" s="7">
        <f>16757.16-L498</f>
        <v>2094.6399999999994</v>
      </c>
      <c r="N498" s="1">
        <f t="shared" ref="N498:N535" si="513">L498+M498</f>
        <v>16757.16</v>
      </c>
      <c r="O498" s="1">
        <v>8378.58</v>
      </c>
      <c r="P498" s="1">
        <f t="shared" si="503"/>
        <v>-8378.58</v>
      </c>
      <c r="Q498" s="1">
        <f t="shared" si="504"/>
        <v>8378.58</v>
      </c>
      <c r="R498" s="1">
        <v>8378.58</v>
      </c>
      <c r="S498" s="1">
        <f t="shared" si="505"/>
        <v>0</v>
      </c>
      <c r="T498" s="1">
        <f t="shared" si="506"/>
        <v>8378.58</v>
      </c>
      <c r="U498" s="1">
        <v>8378.58</v>
      </c>
      <c r="V498" s="1">
        <f t="shared" si="507"/>
        <v>0</v>
      </c>
      <c r="W498" s="1">
        <f t="shared" si="508"/>
        <v>8378.58</v>
      </c>
      <c r="X498" s="1">
        <v>17614.78</v>
      </c>
      <c r="Y498" s="41">
        <f t="shared" si="496"/>
        <v>9236.1999999999989</v>
      </c>
      <c r="Z498" s="1">
        <f t="shared" si="509"/>
        <v>17614.78</v>
      </c>
      <c r="AA498" s="1">
        <v>17094.16</v>
      </c>
      <c r="AB498" s="1">
        <f t="shared" si="510"/>
        <v>-520.61999999999898</v>
      </c>
      <c r="AC498" s="1">
        <f t="shared" si="511"/>
        <v>17094.16</v>
      </c>
      <c r="AD498" s="41">
        <v>8675.39</v>
      </c>
      <c r="AE498" s="1">
        <f t="shared" si="486"/>
        <v>-8418.77</v>
      </c>
      <c r="AF498" s="1">
        <f t="shared" si="487"/>
        <v>8675.39</v>
      </c>
    </row>
    <row r="499" spans="1:32" outlineLevel="2">
      <c r="A499" s="11">
        <v>33700</v>
      </c>
      <c r="B499" s="11">
        <v>12006</v>
      </c>
      <c r="C499" s="11" t="s">
        <v>81</v>
      </c>
      <c r="D499" s="7">
        <v>0</v>
      </c>
      <c r="E499" s="7">
        <v>0</v>
      </c>
      <c r="F499" s="7">
        <f t="shared" si="474"/>
        <v>0</v>
      </c>
      <c r="G499" s="7">
        <v>0</v>
      </c>
      <c r="H499" s="7">
        <f t="shared" ref="H499:H571" si="514">D499+G499</f>
        <v>0</v>
      </c>
      <c r="I499" s="1">
        <v>816.34</v>
      </c>
      <c r="J499" s="1">
        <f t="shared" si="495"/>
        <v>-816.34</v>
      </c>
      <c r="K499" s="1">
        <v>816.34</v>
      </c>
      <c r="L499" s="1">
        <f t="shared" si="512"/>
        <v>816.34</v>
      </c>
      <c r="M499" s="7">
        <f>501.2-L499</f>
        <v>-315.14000000000004</v>
      </c>
      <c r="N499" s="1">
        <f t="shared" si="513"/>
        <v>501.2</v>
      </c>
      <c r="O499" s="1">
        <v>5576.43</v>
      </c>
      <c r="P499" s="1">
        <f t="shared" si="503"/>
        <v>5075.2300000000005</v>
      </c>
      <c r="Q499" s="1">
        <f t="shared" si="504"/>
        <v>5576.43</v>
      </c>
      <c r="R499" s="1">
        <v>4512.3</v>
      </c>
      <c r="S499" s="1">
        <f t="shared" si="505"/>
        <v>-1064.1300000000001</v>
      </c>
      <c r="T499" s="1">
        <f t="shared" si="506"/>
        <v>4512.3</v>
      </c>
      <c r="U499" s="1">
        <v>6667.11</v>
      </c>
      <c r="V499" s="1">
        <f t="shared" si="507"/>
        <v>2154.8099999999995</v>
      </c>
      <c r="W499" s="1">
        <f t="shared" si="508"/>
        <v>6667.11</v>
      </c>
      <c r="X499" s="1">
        <v>6544.17</v>
      </c>
      <c r="Y499" s="41">
        <f t="shared" si="496"/>
        <v>-122.9399999999996</v>
      </c>
      <c r="Z499" s="1">
        <f t="shared" si="509"/>
        <v>6544.17</v>
      </c>
      <c r="AA499" s="1">
        <v>4768.2</v>
      </c>
      <c r="AB499" s="1">
        <f t="shared" si="510"/>
        <v>-1775.9700000000003</v>
      </c>
      <c r="AC499" s="1">
        <f t="shared" si="511"/>
        <v>4768.2</v>
      </c>
      <c r="AD499" s="41">
        <v>4464.43</v>
      </c>
      <c r="AE499" s="1">
        <f t="shared" si="486"/>
        <v>-303.76999999999953</v>
      </c>
      <c r="AF499" s="1">
        <f t="shared" si="487"/>
        <v>4464.43</v>
      </c>
    </row>
    <row r="500" spans="1:32" outlineLevel="2">
      <c r="A500" s="11">
        <v>33700</v>
      </c>
      <c r="B500" s="11">
        <v>12100</v>
      </c>
      <c r="C500" s="11" t="s">
        <v>142</v>
      </c>
      <c r="D500" s="7">
        <v>28387.54</v>
      </c>
      <c r="E500" s="7">
        <v>4986.49</v>
      </c>
      <c r="F500" s="7">
        <f>D500-E500</f>
        <v>23401.050000000003</v>
      </c>
      <c r="G500" s="7">
        <v>-23401.05</v>
      </c>
      <c r="H500" s="7">
        <f>D500+G500</f>
        <v>4986.4900000000016</v>
      </c>
      <c r="I500" s="1">
        <v>11977.7</v>
      </c>
      <c r="J500" s="1">
        <f t="shared" si="495"/>
        <v>-6991.2099999999991</v>
      </c>
      <c r="K500" s="1">
        <v>6991.21</v>
      </c>
      <c r="L500" s="1">
        <f t="shared" si="512"/>
        <v>11977.7</v>
      </c>
      <c r="M500" s="7">
        <f>27870.64-L500</f>
        <v>15892.939999999999</v>
      </c>
      <c r="N500" s="1">
        <f t="shared" si="513"/>
        <v>27870.639999999999</v>
      </c>
      <c r="O500" s="1">
        <v>35951.300000000003</v>
      </c>
      <c r="P500" s="1">
        <f t="shared" si="503"/>
        <v>8080.6600000000035</v>
      </c>
      <c r="Q500" s="1">
        <f t="shared" si="504"/>
        <v>35951.300000000003</v>
      </c>
      <c r="R500" s="1">
        <f>26345.76-5141.36</f>
        <v>21204.399999999998</v>
      </c>
      <c r="S500" s="1">
        <f t="shared" si="505"/>
        <v>-14746.900000000005</v>
      </c>
      <c r="T500" s="1">
        <f t="shared" si="506"/>
        <v>21204.399999999998</v>
      </c>
      <c r="U500" s="1">
        <v>21204.400000000001</v>
      </c>
      <c r="V500" s="1">
        <f t="shared" si="507"/>
        <v>0</v>
      </c>
      <c r="W500" s="1">
        <f t="shared" si="508"/>
        <v>21204.399999999998</v>
      </c>
      <c r="X500" s="1">
        <v>26046.44</v>
      </c>
      <c r="Y500" s="41">
        <f t="shared" si="496"/>
        <v>4842.0400000000009</v>
      </c>
      <c r="Z500" s="1">
        <f t="shared" si="509"/>
        <v>26046.44</v>
      </c>
      <c r="AA500" s="1">
        <v>15632.33</v>
      </c>
      <c r="AB500" s="1">
        <f t="shared" si="510"/>
        <v>-10414.109999999999</v>
      </c>
      <c r="AC500" s="1">
        <f t="shared" si="511"/>
        <v>15632.33</v>
      </c>
      <c r="AD500" s="41">
        <v>16843.259999999998</v>
      </c>
      <c r="AE500" s="1">
        <f t="shared" si="486"/>
        <v>1210.9299999999985</v>
      </c>
      <c r="AF500" s="1">
        <f t="shared" si="487"/>
        <v>16843.259999999998</v>
      </c>
    </row>
    <row r="501" spans="1:32" outlineLevel="2">
      <c r="A501" s="11">
        <v>33700</v>
      </c>
      <c r="B501" s="11">
        <v>12101</v>
      </c>
      <c r="C501" s="11" t="s">
        <v>143</v>
      </c>
      <c r="D501" s="7">
        <v>0</v>
      </c>
      <c r="E501" s="7">
        <v>7030.6</v>
      </c>
      <c r="F501" s="7">
        <f t="shared" si="474"/>
        <v>-7030.6</v>
      </c>
      <c r="G501" s="7">
        <v>7030.6</v>
      </c>
      <c r="H501" s="7">
        <f t="shared" si="514"/>
        <v>7030.6</v>
      </c>
      <c r="I501" s="1">
        <v>14865.9</v>
      </c>
      <c r="J501" s="1">
        <f t="shared" si="495"/>
        <v>-7835.2999999999993</v>
      </c>
      <c r="K501" s="1">
        <v>7835.3</v>
      </c>
      <c r="L501" s="1">
        <f t="shared" si="512"/>
        <v>14865.900000000001</v>
      </c>
      <c r="M501" s="7">
        <f>11601.94-L501</f>
        <v>-3263.9600000000009</v>
      </c>
      <c r="N501" s="1">
        <f t="shared" si="513"/>
        <v>11601.94</v>
      </c>
      <c r="O501" s="1">
        <v>21799.96</v>
      </c>
      <c r="P501" s="1">
        <f t="shared" si="503"/>
        <v>10198.019999999999</v>
      </c>
      <c r="Q501" s="1">
        <f t="shared" si="504"/>
        <v>21799.96</v>
      </c>
      <c r="R501" s="1">
        <f>21799.96+5141.36</f>
        <v>26941.32</v>
      </c>
      <c r="S501" s="1">
        <f t="shared" si="505"/>
        <v>5141.3600000000006</v>
      </c>
      <c r="T501" s="1">
        <f t="shared" si="506"/>
        <v>26941.32</v>
      </c>
      <c r="U501" s="1">
        <v>26941.32</v>
      </c>
      <c r="V501" s="1">
        <f t="shared" si="507"/>
        <v>0</v>
      </c>
      <c r="W501" s="1">
        <f t="shared" si="508"/>
        <v>26941.32</v>
      </c>
      <c r="X501" s="1">
        <v>32823.18</v>
      </c>
      <c r="Y501" s="41">
        <f t="shared" si="496"/>
        <v>5881.8600000000006</v>
      </c>
      <c r="Z501" s="1">
        <f t="shared" si="509"/>
        <v>32823.18</v>
      </c>
      <c r="AA501" s="1">
        <v>23083.86</v>
      </c>
      <c r="AB501" s="1">
        <f t="shared" si="510"/>
        <v>-9739.32</v>
      </c>
      <c r="AC501" s="1">
        <f t="shared" si="511"/>
        <v>23083.86</v>
      </c>
      <c r="AD501" s="41">
        <v>25046.55</v>
      </c>
      <c r="AE501" s="1">
        <f t="shared" si="486"/>
        <v>1962.6899999999987</v>
      </c>
      <c r="AF501" s="1">
        <f t="shared" si="487"/>
        <v>25046.55</v>
      </c>
    </row>
    <row r="502" spans="1:32" outlineLevel="2">
      <c r="A502" s="11">
        <v>33700</v>
      </c>
      <c r="B502" s="11">
        <v>15000</v>
      </c>
      <c r="C502" s="39" t="s">
        <v>387</v>
      </c>
      <c r="D502" s="7"/>
      <c r="E502" s="7"/>
      <c r="F502" s="7"/>
      <c r="G502" s="7"/>
      <c r="H502" s="7"/>
      <c r="I502" s="1"/>
      <c r="J502" s="1"/>
      <c r="K502" s="1"/>
      <c r="L502" s="1"/>
      <c r="N502" s="1"/>
      <c r="O502" s="1"/>
      <c r="Q502" s="1">
        <v>0</v>
      </c>
      <c r="R502" s="1">
        <v>7000</v>
      </c>
      <c r="S502" s="1">
        <f>R502-Q502</f>
        <v>7000</v>
      </c>
      <c r="T502" s="1">
        <f>Q502+S502</f>
        <v>7000</v>
      </c>
      <c r="U502" s="1">
        <v>7000</v>
      </c>
      <c r="V502" s="1">
        <f t="shared" si="507"/>
        <v>0</v>
      </c>
      <c r="W502" s="1">
        <f t="shared" si="508"/>
        <v>7000</v>
      </c>
      <c r="X502" s="1">
        <v>4000</v>
      </c>
      <c r="Y502" s="41">
        <f t="shared" si="496"/>
        <v>-3000</v>
      </c>
      <c r="Z502" s="1">
        <f t="shared" si="509"/>
        <v>4000</v>
      </c>
      <c r="AA502" s="1">
        <v>0</v>
      </c>
      <c r="AB502" s="1">
        <f t="shared" si="510"/>
        <v>-4000</v>
      </c>
      <c r="AC502" s="1">
        <f t="shared" si="511"/>
        <v>0</v>
      </c>
      <c r="AD502" s="41">
        <v>0</v>
      </c>
      <c r="AE502" s="1">
        <f t="shared" si="486"/>
        <v>0</v>
      </c>
      <c r="AF502" s="1">
        <f t="shared" si="487"/>
        <v>0</v>
      </c>
    </row>
    <row r="503" spans="1:32" outlineLevel="2">
      <c r="A503" s="11">
        <v>33700</v>
      </c>
      <c r="B503" s="19">
        <v>15100</v>
      </c>
      <c r="C503" s="19" t="s">
        <v>488</v>
      </c>
      <c r="D503" s="20">
        <v>4500</v>
      </c>
      <c r="E503" s="20"/>
      <c r="F503" s="20">
        <f t="shared" si="474"/>
        <v>4500</v>
      </c>
      <c r="G503" s="20"/>
      <c r="H503" s="20">
        <f t="shared" si="514"/>
        <v>4500</v>
      </c>
      <c r="I503" s="21">
        <v>4500</v>
      </c>
      <c r="J503" s="21">
        <f t="shared" si="495"/>
        <v>0</v>
      </c>
      <c r="K503" s="21">
        <v>0</v>
      </c>
      <c r="L503" s="21">
        <f t="shared" si="512"/>
        <v>4500</v>
      </c>
      <c r="M503" s="7">
        <v>-3500</v>
      </c>
      <c r="N503" s="1">
        <f t="shared" si="513"/>
        <v>1000</v>
      </c>
      <c r="O503" s="1"/>
      <c r="P503" s="1">
        <f t="shared" si="503"/>
        <v>-1000</v>
      </c>
      <c r="Q503" s="1">
        <f t="shared" si="504"/>
        <v>0</v>
      </c>
      <c r="R503" s="1">
        <v>150</v>
      </c>
      <c r="S503" s="1">
        <f t="shared" si="505"/>
        <v>150</v>
      </c>
      <c r="T503" s="1">
        <f t="shared" si="506"/>
        <v>150</v>
      </c>
      <c r="U503" s="1">
        <f t="shared" si="506"/>
        <v>300</v>
      </c>
      <c r="V503" s="1">
        <f t="shared" si="507"/>
        <v>150</v>
      </c>
      <c r="W503" s="1">
        <f t="shared" si="508"/>
        <v>300</v>
      </c>
      <c r="X503" s="1">
        <v>300</v>
      </c>
      <c r="Y503" s="41">
        <f t="shared" si="496"/>
        <v>0</v>
      </c>
      <c r="Z503" s="1">
        <f t="shared" si="509"/>
        <v>300</v>
      </c>
      <c r="AA503" s="1">
        <v>500</v>
      </c>
      <c r="AB503" s="1">
        <f t="shared" si="510"/>
        <v>200</v>
      </c>
      <c r="AC503" s="1">
        <f t="shared" si="511"/>
        <v>500</v>
      </c>
      <c r="AD503" s="41">
        <v>500</v>
      </c>
      <c r="AE503" s="1">
        <f t="shared" si="486"/>
        <v>0</v>
      </c>
      <c r="AF503" s="1">
        <f t="shared" si="487"/>
        <v>500</v>
      </c>
    </row>
    <row r="504" spans="1:32" outlineLevel="2">
      <c r="A504" s="11">
        <v>33700</v>
      </c>
      <c r="B504" s="60">
        <v>16000</v>
      </c>
      <c r="C504" s="56" t="s">
        <v>753</v>
      </c>
      <c r="D504" s="62"/>
      <c r="E504" s="64"/>
      <c r="F504" s="62"/>
      <c r="G504" s="64"/>
      <c r="H504" s="62"/>
      <c r="I504" s="64"/>
      <c r="J504" s="62"/>
      <c r="K504" s="64"/>
      <c r="L504" s="62"/>
      <c r="M504" s="63"/>
      <c r="N504" s="53"/>
      <c r="O504" s="53"/>
      <c r="P504" s="53"/>
      <c r="Q504" s="53"/>
      <c r="R504" s="58"/>
      <c r="S504" s="53"/>
      <c r="T504" s="53">
        <f t="shared" si="506"/>
        <v>0</v>
      </c>
      <c r="U504" s="63"/>
      <c r="V504" s="53">
        <f t="shared" si="507"/>
        <v>0</v>
      </c>
      <c r="W504" s="53">
        <f t="shared" si="508"/>
        <v>0</v>
      </c>
      <c r="X504" s="1">
        <v>0</v>
      </c>
      <c r="Y504" s="41">
        <f t="shared" si="496"/>
        <v>0</v>
      </c>
      <c r="Z504" s="1">
        <f t="shared" si="509"/>
        <v>0</v>
      </c>
      <c r="AA504" s="1">
        <v>0</v>
      </c>
      <c r="AB504" s="1">
        <f t="shared" si="510"/>
        <v>0</v>
      </c>
      <c r="AC504" s="1">
        <f t="shared" si="511"/>
        <v>0</v>
      </c>
      <c r="AD504" s="41">
        <v>21384.12</v>
      </c>
      <c r="AE504" s="1">
        <f t="shared" si="486"/>
        <v>21384.12</v>
      </c>
      <c r="AF504" s="1">
        <f t="shared" si="487"/>
        <v>21384.12</v>
      </c>
    </row>
    <row r="505" spans="1:32" outlineLevel="2">
      <c r="A505" s="11">
        <v>33700</v>
      </c>
      <c r="B505" s="11">
        <v>20300</v>
      </c>
      <c r="C505" s="11" t="s">
        <v>344</v>
      </c>
      <c r="D505" s="7">
        <v>2000</v>
      </c>
      <c r="E505" s="7"/>
      <c r="F505" s="7">
        <f t="shared" si="474"/>
        <v>2000</v>
      </c>
      <c r="G505" s="7"/>
      <c r="H505" s="7">
        <f t="shared" si="514"/>
        <v>2000</v>
      </c>
      <c r="I505" s="1"/>
      <c r="J505" s="1">
        <f t="shared" si="495"/>
        <v>2000</v>
      </c>
      <c r="K505" s="1"/>
      <c r="L505" s="1">
        <f t="shared" si="512"/>
        <v>2000</v>
      </c>
      <c r="N505" s="1">
        <f t="shared" si="513"/>
        <v>2000</v>
      </c>
      <c r="O505" s="1"/>
      <c r="Q505" s="1">
        <f t="shared" si="504"/>
        <v>2000</v>
      </c>
      <c r="T505" s="1">
        <f t="shared" si="506"/>
        <v>2000</v>
      </c>
      <c r="U505" s="1">
        <f t="shared" si="506"/>
        <v>2000</v>
      </c>
      <c r="V505" s="1">
        <f t="shared" si="507"/>
        <v>0</v>
      </c>
      <c r="W505" s="1">
        <f t="shared" si="508"/>
        <v>2000</v>
      </c>
      <c r="X505" s="1">
        <v>2000</v>
      </c>
      <c r="Y505" s="41">
        <f t="shared" si="496"/>
        <v>0</v>
      </c>
      <c r="Z505" s="1">
        <f t="shared" si="509"/>
        <v>2000</v>
      </c>
      <c r="AA505" s="1">
        <v>2000</v>
      </c>
      <c r="AB505" s="1">
        <f t="shared" si="510"/>
        <v>0</v>
      </c>
      <c r="AC505" s="1">
        <f t="shared" si="511"/>
        <v>2000</v>
      </c>
      <c r="AD505" s="41">
        <v>3000</v>
      </c>
      <c r="AE505" s="1">
        <f t="shared" si="486"/>
        <v>1000</v>
      </c>
      <c r="AF505" s="1">
        <f t="shared" si="487"/>
        <v>3000</v>
      </c>
    </row>
    <row r="506" spans="1:32" outlineLevel="2">
      <c r="A506" s="11">
        <v>33700</v>
      </c>
      <c r="B506" s="11">
        <v>21200</v>
      </c>
      <c r="C506" s="11" t="s">
        <v>320</v>
      </c>
      <c r="D506" s="7">
        <v>5000</v>
      </c>
      <c r="E506" s="7"/>
      <c r="F506" s="7">
        <f t="shared" si="474"/>
        <v>5000</v>
      </c>
      <c r="G506" s="7"/>
      <c r="H506" s="7">
        <f t="shared" si="514"/>
        <v>5000</v>
      </c>
      <c r="I506" s="1"/>
      <c r="J506" s="1">
        <f t="shared" si="495"/>
        <v>5000</v>
      </c>
      <c r="K506" s="1"/>
      <c r="L506" s="1">
        <f t="shared" si="512"/>
        <v>5000</v>
      </c>
      <c r="N506" s="1">
        <f t="shared" si="513"/>
        <v>5000</v>
      </c>
      <c r="O506" s="1"/>
      <c r="Q506" s="1">
        <f t="shared" si="504"/>
        <v>5000</v>
      </c>
      <c r="R506" s="1">
        <v>30000</v>
      </c>
      <c r="S506" s="1">
        <f t="shared" si="505"/>
        <v>25000</v>
      </c>
      <c r="T506" s="1">
        <f t="shared" si="506"/>
        <v>30000</v>
      </c>
      <c r="U506" s="1">
        <v>42000</v>
      </c>
      <c r="V506" s="1">
        <f t="shared" si="507"/>
        <v>12000</v>
      </c>
      <c r="W506" s="1">
        <f t="shared" si="508"/>
        <v>42000</v>
      </c>
      <c r="X506" s="1">
        <v>35000</v>
      </c>
      <c r="Y506" s="41">
        <f t="shared" si="496"/>
        <v>-7000</v>
      </c>
      <c r="Z506" s="1">
        <f t="shared" si="509"/>
        <v>35000</v>
      </c>
      <c r="AA506" s="1">
        <v>37000</v>
      </c>
      <c r="AB506" s="1">
        <f t="shared" si="510"/>
        <v>2000</v>
      </c>
      <c r="AC506" s="1">
        <f t="shared" si="511"/>
        <v>37000</v>
      </c>
      <c r="AD506" s="41">
        <v>32000</v>
      </c>
      <c r="AE506" s="1">
        <f t="shared" si="486"/>
        <v>-5000</v>
      </c>
      <c r="AF506" s="1">
        <f t="shared" si="487"/>
        <v>32000</v>
      </c>
    </row>
    <row r="507" spans="1:32" outlineLevel="2">
      <c r="A507" s="11">
        <v>33700</v>
      </c>
      <c r="B507" s="11">
        <v>21300</v>
      </c>
      <c r="C507" s="11" t="s">
        <v>380</v>
      </c>
      <c r="D507" s="7">
        <v>3500</v>
      </c>
      <c r="E507" s="7"/>
      <c r="F507" s="7">
        <f t="shared" si="474"/>
        <v>3500</v>
      </c>
      <c r="G507" s="7"/>
      <c r="H507" s="7">
        <f t="shared" si="514"/>
        <v>3500</v>
      </c>
      <c r="I507" s="1"/>
      <c r="J507" s="1">
        <f t="shared" si="495"/>
        <v>3500</v>
      </c>
      <c r="K507" s="1"/>
      <c r="L507" s="1">
        <f t="shared" si="512"/>
        <v>3500</v>
      </c>
      <c r="N507" s="1">
        <f t="shared" si="513"/>
        <v>3500</v>
      </c>
      <c r="O507" s="1"/>
      <c r="Q507" s="1">
        <f t="shared" si="504"/>
        <v>3500</v>
      </c>
      <c r="T507" s="1">
        <f t="shared" si="506"/>
        <v>3500</v>
      </c>
      <c r="U507" s="1">
        <f t="shared" si="506"/>
        <v>3500</v>
      </c>
      <c r="V507" s="1">
        <f t="shared" si="507"/>
        <v>0</v>
      </c>
      <c r="W507" s="1">
        <f t="shared" si="508"/>
        <v>3500</v>
      </c>
      <c r="X507" s="1">
        <v>3000</v>
      </c>
      <c r="Y507" s="41">
        <f t="shared" si="496"/>
        <v>-500</v>
      </c>
      <c r="Z507" s="1">
        <f t="shared" si="509"/>
        <v>3000</v>
      </c>
      <c r="AA507" s="1">
        <v>4000</v>
      </c>
      <c r="AB507" s="1">
        <f t="shared" si="510"/>
        <v>1000</v>
      </c>
      <c r="AC507" s="1">
        <f t="shared" si="511"/>
        <v>4000</v>
      </c>
      <c r="AD507" s="41">
        <v>5000</v>
      </c>
      <c r="AE507" s="1">
        <f t="shared" si="486"/>
        <v>1000</v>
      </c>
      <c r="AF507" s="1">
        <f t="shared" si="487"/>
        <v>5000</v>
      </c>
    </row>
    <row r="508" spans="1:32" outlineLevel="2">
      <c r="A508" s="11">
        <v>33700</v>
      </c>
      <c r="B508" s="11">
        <v>22000</v>
      </c>
      <c r="C508" s="11" t="s">
        <v>280</v>
      </c>
      <c r="D508" s="7">
        <v>4000</v>
      </c>
      <c r="E508" s="7"/>
      <c r="F508" s="7">
        <f t="shared" si="474"/>
        <v>4000</v>
      </c>
      <c r="G508" s="7"/>
      <c r="H508" s="7">
        <f t="shared" si="514"/>
        <v>4000</v>
      </c>
      <c r="I508" s="1"/>
      <c r="J508" s="1">
        <f t="shared" si="495"/>
        <v>4000</v>
      </c>
      <c r="K508" s="1"/>
      <c r="L508" s="1">
        <f t="shared" si="512"/>
        <v>4000</v>
      </c>
      <c r="N508" s="1">
        <f t="shared" si="513"/>
        <v>4000</v>
      </c>
      <c r="O508" s="1"/>
      <c r="Q508" s="1">
        <f t="shared" si="504"/>
        <v>4000</v>
      </c>
      <c r="T508" s="1">
        <f t="shared" si="506"/>
        <v>4000</v>
      </c>
      <c r="U508" s="1">
        <f t="shared" si="506"/>
        <v>4000</v>
      </c>
      <c r="V508" s="1">
        <f t="shared" si="507"/>
        <v>0</v>
      </c>
      <c r="W508" s="1">
        <f t="shared" si="508"/>
        <v>4000</v>
      </c>
      <c r="X508" s="1">
        <v>2000</v>
      </c>
      <c r="Y508" s="41">
        <f t="shared" si="496"/>
        <v>-2000</v>
      </c>
      <c r="Z508" s="1">
        <f t="shared" si="509"/>
        <v>2000</v>
      </c>
      <c r="AA508" s="1">
        <v>2000</v>
      </c>
      <c r="AB508" s="1">
        <f t="shared" si="510"/>
        <v>0</v>
      </c>
      <c r="AC508" s="1">
        <f t="shared" si="511"/>
        <v>2000</v>
      </c>
      <c r="AD508" s="41">
        <v>1000</v>
      </c>
      <c r="AE508" s="1">
        <f t="shared" si="486"/>
        <v>-1000</v>
      </c>
      <c r="AF508" s="1">
        <f t="shared" si="487"/>
        <v>1000</v>
      </c>
    </row>
    <row r="509" spans="1:32" outlineLevel="2">
      <c r="A509" s="11">
        <v>33700</v>
      </c>
      <c r="B509" s="11">
        <v>22001</v>
      </c>
      <c r="C509" s="11" t="s">
        <v>489</v>
      </c>
      <c r="D509" s="7">
        <v>28000</v>
      </c>
      <c r="E509" s="7"/>
      <c r="F509" s="7">
        <f t="shared" si="474"/>
        <v>28000</v>
      </c>
      <c r="G509" s="7">
        <v>-3000</v>
      </c>
      <c r="H509" s="7">
        <f t="shared" si="514"/>
        <v>25000</v>
      </c>
      <c r="I509" s="1"/>
      <c r="J509" s="1">
        <f t="shared" si="495"/>
        <v>25000</v>
      </c>
      <c r="K509" s="1"/>
      <c r="L509" s="1">
        <f t="shared" si="512"/>
        <v>25000</v>
      </c>
      <c r="M509" s="7">
        <v>-15000</v>
      </c>
      <c r="N509" s="1">
        <f t="shared" si="513"/>
        <v>10000</v>
      </c>
      <c r="O509" s="1"/>
      <c r="Q509" s="1">
        <f t="shared" si="504"/>
        <v>10000</v>
      </c>
      <c r="S509" s="1">
        <v>-9000</v>
      </c>
      <c r="T509" s="1">
        <f t="shared" si="506"/>
        <v>1000</v>
      </c>
      <c r="U509" s="1">
        <f t="shared" si="506"/>
        <v>1000</v>
      </c>
      <c r="V509" s="1">
        <f t="shared" si="507"/>
        <v>0</v>
      </c>
      <c r="W509" s="1">
        <f t="shared" si="508"/>
        <v>1000</v>
      </c>
      <c r="X509" s="1">
        <v>0</v>
      </c>
      <c r="Y509" s="41">
        <f t="shared" si="496"/>
        <v>-1000</v>
      </c>
      <c r="Z509" s="1">
        <f t="shared" si="509"/>
        <v>0</v>
      </c>
      <c r="AA509" s="1">
        <v>2000</v>
      </c>
      <c r="AB509" s="1">
        <f t="shared" si="510"/>
        <v>2000</v>
      </c>
      <c r="AC509" s="1">
        <f t="shared" si="511"/>
        <v>2000</v>
      </c>
      <c r="AD509" s="41">
        <v>1500</v>
      </c>
      <c r="AE509" s="1">
        <f t="shared" si="486"/>
        <v>-500</v>
      </c>
      <c r="AF509" s="1">
        <f t="shared" si="487"/>
        <v>1500</v>
      </c>
    </row>
    <row r="510" spans="1:32" outlineLevel="2">
      <c r="A510" s="11">
        <v>33700</v>
      </c>
      <c r="B510" s="11">
        <v>22103</v>
      </c>
      <c r="C510" s="11" t="s">
        <v>490</v>
      </c>
      <c r="D510" s="7">
        <v>1440</v>
      </c>
      <c r="E510" s="7"/>
      <c r="F510" s="7">
        <f t="shared" si="474"/>
        <v>1440</v>
      </c>
      <c r="G510" s="7"/>
      <c r="H510" s="7">
        <f t="shared" si="514"/>
        <v>1440</v>
      </c>
      <c r="I510" s="1"/>
      <c r="J510" s="1">
        <f t="shared" si="495"/>
        <v>1440</v>
      </c>
      <c r="K510" s="1"/>
      <c r="L510" s="1">
        <f t="shared" si="512"/>
        <v>1440</v>
      </c>
      <c r="N510" s="1">
        <f t="shared" si="513"/>
        <v>1440</v>
      </c>
      <c r="O510" s="1"/>
      <c r="Q510" s="1">
        <f t="shared" si="504"/>
        <v>1440</v>
      </c>
      <c r="T510" s="1">
        <f t="shared" si="506"/>
        <v>1440</v>
      </c>
      <c r="U510" s="1">
        <f t="shared" si="506"/>
        <v>1440</v>
      </c>
      <c r="V510" s="1">
        <f t="shared" si="507"/>
        <v>0</v>
      </c>
      <c r="W510" s="1">
        <f t="shared" si="508"/>
        <v>1440</v>
      </c>
      <c r="X510" s="1">
        <v>0</v>
      </c>
      <c r="Y510" s="41">
        <f t="shared" si="496"/>
        <v>-1440</v>
      </c>
      <c r="Z510" s="1">
        <f t="shared" si="509"/>
        <v>0</v>
      </c>
      <c r="AA510" s="1">
        <v>0</v>
      </c>
      <c r="AB510" s="1">
        <f t="shared" si="510"/>
        <v>0</v>
      </c>
      <c r="AC510" s="1">
        <f t="shared" si="511"/>
        <v>0</v>
      </c>
      <c r="AD510" s="41">
        <v>0</v>
      </c>
      <c r="AE510" s="1">
        <f t="shared" si="486"/>
        <v>0</v>
      </c>
      <c r="AF510" s="1">
        <f t="shared" si="487"/>
        <v>0</v>
      </c>
    </row>
    <row r="511" spans="1:32" outlineLevel="2">
      <c r="A511" s="11">
        <v>33700</v>
      </c>
      <c r="B511" s="11">
        <v>22199</v>
      </c>
      <c r="C511" s="11" t="s">
        <v>232</v>
      </c>
      <c r="D511" s="7">
        <v>8000</v>
      </c>
      <c r="E511" s="7"/>
      <c r="F511" s="7">
        <f t="shared" si="474"/>
        <v>8000</v>
      </c>
      <c r="G511" s="7">
        <v>-3000</v>
      </c>
      <c r="H511" s="7">
        <f t="shared" si="514"/>
        <v>5000</v>
      </c>
      <c r="I511" s="1"/>
      <c r="J511" s="1">
        <f t="shared" si="495"/>
        <v>5000</v>
      </c>
      <c r="K511" s="1"/>
      <c r="L511" s="1">
        <f t="shared" si="512"/>
        <v>5000</v>
      </c>
      <c r="N511" s="1">
        <f t="shared" si="513"/>
        <v>5000</v>
      </c>
      <c r="O511" s="1"/>
      <c r="Q511" s="1">
        <f t="shared" si="504"/>
        <v>5000</v>
      </c>
      <c r="T511" s="1">
        <f t="shared" si="506"/>
        <v>5000</v>
      </c>
      <c r="U511" s="1">
        <f t="shared" si="506"/>
        <v>5000</v>
      </c>
      <c r="V511" s="1">
        <f t="shared" si="507"/>
        <v>0</v>
      </c>
      <c r="W511" s="1">
        <f t="shared" si="508"/>
        <v>5000</v>
      </c>
      <c r="X511" s="1">
        <v>6000</v>
      </c>
      <c r="Y511" s="41">
        <f t="shared" si="496"/>
        <v>1000</v>
      </c>
      <c r="Z511" s="1">
        <f t="shared" si="509"/>
        <v>6000</v>
      </c>
      <c r="AA511" s="1">
        <v>6000</v>
      </c>
      <c r="AB511" s="1">
        <f t="shared" si="510"/>
        <v>0</v>
      </c>
      <c r="AC511" s="1">
        <f t="shared" si="511"/>
        <v>6000</v>
      </c>
      <c r="AD511" s="41">
        <v>8800</v>
      </c>
      <c r="AE511" s="1">
        <f t="shared" si="486"/>
        <v>2800</v>
      </c>
      <c r="AF511" s="1">
        <f t="shared" si="487"/>
        <v>8800</v>
      </c>
    </row>
    <row r="512" spans="1:32" outlineLevel="2">
      <c r="A512" s="11">
        <v>33700</v>
      </c>
      <c r="B512" s="11">
        <v>22601</v>
      </c>
      <c r="C512" s="39" t="s">
        <v>917</v>
      </c>
      <c r="D512" s="7"/>
      <c r="E512" s="7"/>
      <c r="F512" s="7"/>
      <c r="G512" s="7"/>
      <c r="H512" s="7"/>
      <c r="I512" s="1"/>
      <c r="J512" s="1"/>
      <c r="K512" s="1"/>
      <c r="L512" s="1"/>
      <c r="N512" s="1"/>
      <c r="O512" s="1"/>
      <c r="T512" s="1"/>
      <c r="V512" s="1"/>
      <c r="W512" s="1"/>
      <c r="Y512" s="41"/>
      <c r="Z512" s="1"/>
      <c r="AB512" s="1"/>
      <c r="AC512" s="1">
        <v>0</v>
      </c>
      <c r="AD512" s="41">
        <v>1800</v>
      </c>
      <c r="AE512" s="1">
        <f t="shared" ref="AE512" si="515">AD512-AC512</f>
        <v>1800</v>
      </c>
      <c r="AF512" s="1">
        <f t="shared" ref="AF512" si="516">AC512+AE512</f>
        <v>1800</v>
      </c>
    </row>
    <row r="513" spans="1:32" outlineLevel="2">
      <c r="A513" s="11">
        <v>33700</v>
      </c>
      <c r="B513" s="11">
        <v>22602</v>
      </c>
      <c r="C513" s="11" t="s">
        <v>282</v>
      </c>
      <c r="D513" s="7">
        <v>15000</v>
      </c>
      <c r="E513" s="7"/>
      <c r="F513" s="7">
        <f t="shared" si="474"/>
        <v>15000</v>
      </c>
      <c r="G513" s="7"/>
      <c r="H513" s="7">
        <f t="shared" si="514"/>
        <v>15000</v>
      </c>
      <c r="I513" s="1"/>
      <c r="J513" s="1">
        <f t="shared" si="495"/>
        <v>15000</v>
      </c>
      <c r="K513" s="1"/>
      <c r="L513" s="1">
        <f t="shared" si="512"/>
        <v>15000</v>
      </c>
      <c r="M513" s="7">
        <v>-7000</v>
      </c>
      <c r="N513" s="1">
        <f t="shared" si="513"/>
        <v>8000</v>
      </c>
      <c r="O513" s="1"/>
      <c r="Q513" s="1">
        <f t="shared" si="504"/>
        <v>8000</v>
      </c>
      <c r="S513" s="1">
        <v>5000</v>
      </c>
      <c r="T513" s="1">
        <f t="shared" si="506"/>
        <v>13000</v>
      </c>
      <c r="U513" s="1">
        <f t="shared" si="506"/>
        <v>13000</v>
      </c>
      <c r="V513" s="1">
        <f t="shared" si="507"/>
        <v>0</v>
      </c>
      <c r="W513" s="1">
        <f t="shared" si="508"/>
        <v>13000</v>
      </c>
      <c r="X513" s="41">
        <v>0</v>
      </c>
      <c r="Y513" s="41">
        <f t="shared" si="496"/>
        <v>-13000</v>
      </c>
      <c r="Z513" s="1">
        <f t="shared" si="509"/>
        <v>0</v>
      </c>
      <c r="AA513" s="1">
        <v>0</v>
      </c>
      <c r="AB513" s="1">
        <f t="shared" si="510"/>
        <v>0</v>
      </c>
      <c r="AC513" s="1">
        <f t="shared" si="511"/>
        <v>0</v>
      </c>
      <c r="AD513" s="41">
        <v>0</v>
      </c>
      <c r="AE513" s="1">
        <f t="shared" si="486"/>
        <v>0</v>
      </c>
      <c r="AF513" s="1">
        <f t="shared" si="487"/>
        <v>0</v>
      </c>
    </row>
    <row r="514" spans="1:32" outlineLevel="2">
      <c r="A514" s="11">
        <v>33700</v>
      </c>
      <c r="B514" s="11">
        <v>22606</v>
      </c>
      <c r="C514" s="11" t="s">
        <v>491</v>
      </c>
      <c r="D514" s="7">
        <v>35000</v>
      </c>
      <c r="E514" s="7"/>
      <c r="F514" s="7">
        <f t="shared" si="474"/>
        <v>35000</v>
      </c>
      <c r="G514" s="7">
        <v>-5000</v>
      </c>
      <c r="H514" s="7">
        <f t="shared" si="514"/>
        <v>30000</v>
      </c>
      <c r="I514" s="1"/>
      <c r="J514" s="1">
        <f t="shared" si="495"/>
        <v>30000</v>
      </c>
      <c r="K514" s="1"/>
      <c r="L514" s="1">
        <f t="shared" si="512"/>
        <v>30000</v>
      </c>
      <c r="N514" s="1">
        <f t="shared" si="513"/>
        <v>30000</v>
      </c>
      <c r="O514" s="1"/>
      <c r="Q514" s="1">
        <f t="shared" si="504"/>
        <v>30000</v>
      </c>
      <c r="S514" s="1">
        <v>25000</v>
      </c>
      <c r="T514" s="1">
        <f t="shared" si="506"/>
        <v>55000</v>
      </c>
      <c r="U514" s="1">
        <f t="shared" si="506"/>
        <v>55000</v>
      </c>
      <c r="V514" s="1">
        <f t="shared" si="507"/>
        <v>0</v>
      </c>
      <c r="W514" s="1">
        <f t="shared" si="508"/>
        <v>55000</v>
      </c>
      <c r="X514" s="1">
        <v>28500</v>
      </c>
      <c r="Y514" s="41">
        <f t="shared" si="496"/>
        <v>-26500</v>
      </c>
      <c r="Z514" s="1">
        <f t="shared" si="509"/>
        <v>28500</v>
      </c>
      <c r="AA514" s="1">
        <v>29800</v>
      </c>
      <c r="AB514" s="1">
        <f t="shared" si="510"/>
        <v>1300</v>
      </c>
      <c r="AC514" s="1">
        <f t="shared" si="511"/>
        <v>29800</v>
      </c>
      <c r="AD514" s="41">
        <f>38150-206.69</f>
        <v>37943.31</v>
      </c>
      <c r="AE514" s="1">
        <f t="shared" si="486"/>
        <v>8143.3099999999977</v>
      </c>
      <c r="AF514" s="1">
        <f t="shared" si="487"/>
        <v>37943.31</v>
      </c>
    </row>
    <row r="515" spans="1:32" outlineLevel="2">
      <c r="A515" s="11">
        <v>33700</v>
      </c>
      <c r="B515" s="11">
        <v>22699</v>
      </c>
      <c r="C515" s="11" t="s">
        <v>256</v>
      </c>
      <c r="D515" s="7">
        <v>3000</v>
      </c>
      <c r="E515" s="7"/>
      <c r="F515" s="7">
        <f t="shared" si="474"/>
        <v>3000</v>
      </c>
      <c r="G515" s="7"/>
      <c r="H515" s="7">
        <f t="shared" si="514"/>
        <v>3000</v>
      </c>
      <c r="I515" s="1"/>
      <c r="J515" s="1">
        <f t="shared" si="495"/>
        <v>3000</v>
      </c>
      <c r="K515" s="1"/>
      <c r="L515" s="1">
        <f t="shared" si="512"/>
        <v>3000</v>
      </c>
      <c r="N515" s="1">
        <f t="shared" si="513"/>
        <v>3000</v>
      </c>
      <c r="O515" s="1"/>
      <c r="Q515" s="1">
        <f t="shared" si="504"/>
        <v>3000</v>
      </c>
      <c r="T515" s="1">
        <f t="shared" si="506"/>
        <v>3000</v>
      </c>
      <c r="U515" s="1">
        <v>15000</v>
      </c>
      <c r="V515" s="1">
        <f t="shared" si="507"/>
        <v>12000</v>
      </c>
      <c r="W515" s="1">
        <f t="shared" si="508"/>
        <v>15000</v>
      </c>
      <c r="X515" s="1">
        <v>19000</v>
      </c>
      <c r="Y515" s="41">
        <f t="shared" si="496"/>
        <v>4000</v>
      </c>
      <c r="Z515" s="1">
        <f t="shared" si="509"/>
        <v>19000</v>
      </c>
      <c r="AA515" s="1">
        <v>19000</v>
      </c>
      <c r="AB515" s="1">
        <f t="shared" si="510"/>
        <v>0</v>
      </c>
      <c r="AC515" s="1">
        <f t="shared" si="511"/>
        <v>19000</v>
      </c>
      <c r="AD515" s="41">
        <v>4000</v>
      </c>
      <c r="AE515" s="1">
        <f t="shared" si="486"/>
        <v>-15000</v>
      </c>
      <c r="AF515" s="1">
        <f t="shared" si="487"/>
        <v>4000</v>
      </c>
    </row>
    <row r="516" spans="1:32" outlineLevel="2">
      <c r="A516" s="11">
        <v>33700</v>
      </c>
      <c r="B516" s="11">
        <v>22706</v>
      </c>
      <c r="C516" s="11" t="s">
        <v>638</v>
      </c>
      <c r="D516" s="7">
        <v>95000</v>
      </c>
      <c r="E516" s="7"/>
      <c r="F516" s="7">
        <f t="shared" si="474"/>
        <v>95000</v>
      </c>
      <c r="G516" s="7">
        <v>-5000</v>
      </c>
      <c r="H516" s="7">
        <f t="shared" si="514"/>
        <v>90000</v>
      </c>
      <c r="I516" s="1"/>
      <c r="J516" s="1">
        <f t="shared" si="495"/>
        <v>90000</v>
      </c>
      <c r="K516" s="1"/>
      <c r="L516" s="1">
        <f t="shared" si="512"/>
        <v>90000</v>
      </c>
      <c r="M516" s="10">
        <v>-20000</v>
      </c>
      <c r="N516" s="1">
        <f t="shared" si="513"/>
        <v>70000</v>
      </c>
      <c r="O516" s="1"/>
      <c r="Q516" s="1">
        <v>70000</v>
      </c>
      <c r="T516" s="1">
        <f t="shared" si="506"/>
        <v>70000</v>
      </c>
      <c r="U516" s="1">
        <f t="shared" si="506"/>
        <v>70000</v>
      </c>
      <c r="V516" s="1">
        <f t="shared" si="507"/>
        <v>0</v>
      </c>
      <c r="W516" s="1">
        <f t="shared" si="508"/>
        <v>70000</v>
      </c>
      <c r="X516" s="1">
        <f>24200+13322.1+33275+35000+148830</f>
        <v>254627.1</v>
      </c>
      <c r="Y516" s="41">
        <f t="shared" si="496"/>
        <v>184627.1</v>
      </c>
      <c r="Z516" s="1">
        <f t="shared" si="509"/>
        <v>254627.1</v>
      </c>
      <c r="AA516" s="1">
        <f>161318</f>
        <v>161318</v>
      </c>
      <c r="AB516" s="1">
        <f t="shared" si="510"/>
        <v>-93309.1</v>
      </c>
      <c r="AC516" s="1">
        <f t="shared" si="511"/>
        <v>161318</v>
      </c>
      <c r="AD516" s="41">
        <v>203778</v>
      </c>
      <c r="AE516" s="1">
        <f t="shared" si="486"/>
        <v>42460</v>
      </c>
      <c r="AF516" s="1">
        <f t="shared" si="487"/>
        <v>203778</v>
      </c>
    </row>
    <row r="517" spans="1:32" outlineLevel="2">
      <c r="A517" s="11">
        <v>33700</v>
      </c>
      <c r="B517" s="11">
        <v>23020</v>
      </c>
      <c r="C517" s="11" t="s">
        <v>385</v>
      </c>
      <c r="D517" s="7">
        <v>950</v>
      </c>
      <c r="E517" s="7"/>
      <c r="F517" s="7">
        <f t="shared" si="474"/>
        <v>950</v>
      </c>
      <c r="G517" s="7"/>
      <c r="H517" s="7">
        <f t="shared" si="514"/>
        <v>950</v>
      </c>
      <c r="I517" s="1"/>
      <c r="J517" s="1">
        <f t="shared" si="495"/>
        <v>950</v>
      </c>
      <c r="K517" s="1"/>
      <c r="L517" s="1">
        <f t="shared" si="512"/>
        <v>950</v>
      </c>
      <c r="M517" s="8"/>
      <c r="N517" s="1">
        <f t="shared" si="513"/>
        <v>950</v>
      </c>
      <c r="O517" s="1"/>
      <c r="Q517" s="1">
        <f t="shared" si="504"/>
        <v>950</v>
      </c>
      <c r="T517" s="1">
        <f t="shared" si="506"/>
        <v>950</v>
      </c>
      <c r="U517" s="1">
        <f t="shared" si="506"/>
        <v>950</v>
      </c>
      <c r="V517" s="1">
        <f t="shared" si="507"/>
        <v>0</v>
      </c>
      <c r="W517" s="1">
        <f t="shared" si="508"/>
        <v>950</v>
      </c>
      <c r="X517" s="1">
        <v>900</v>
      </c>
      <c r="Y517" s="41">
        <f t="shared" si="496"/>
        <v>-50</v>
      </c>
      <c r="Z517" s="1">
        <f t="shared" si="509"/>
        <v>900</v>
      </c>
      <c r="AA517" s="1">
        <v>900</v>
      </c>
      <c r="AB517" s="1">
        <f t="shared" si="510"/>
        <v>0</v>
      </c>
      <c r="AC517" s="1">
        <f t="shared" si="511"/>
        <v>900</v>
      </c>
      <c r="AD517" s="41">
        <v>900</v>
      </c>
      <c r="AE517" s="1">
        <f t="shared" si="486"/>
        <v>0</v>
      </c>
      <c r="AF517" s="1">
        <f t="shared" si="487"/>
        <v>900</v>
      </c>
    </row>
    <row r="518" spans="1:32" outlineLevel="2">
      <c r="A518" s="11">
        <v>33700</v>
      </c>
      <c r="B518" s="11">
        <v>23120</v>
      </c>
      <c r="C518" s="11" t="s">
        <v>386</v>
      </c>
      <c r="D518" s="7">
        <v>950</v>
      </c>
      <c r="E518" s="7"/>
      <c r="F518" s="7">
        <f t="shared" si="474"/>
        <v>950</v>
      </c>
      <c r="G518" s="7"/>
      <c r="H518" s="7">
        <f t="shared" si="514"/>
        <v>950</v>
      </c>
      <c r="I518" s="1"/>
      <c r="J518" s="1">
        <f t="shared" si="495"/>
        <v>950</v>
      </c>
      <c r="K518" s="1"/>
      <c r="L518" s="1">
        <f t="shared" si="512"/>
        <v>950</v>
      </c>
      <c r="M518" s="8"/>
      <c r="N518" s="1">
        <f t="shared" si="513"/>
        <v>950</v>
      </c>
      <c r="O518" s="1"/>
      <c r="Q518" s="1">
        <f t="shared" si="504"/>
        <v>950</v>
      </c>
      <c r="T518" s="1">
        <f t="shared" si="506"/>
        <v>950</v>
      </c>
      <c r="U518" s="1">
        <f t="shared" si="506"/>
        <v>950</v>
      </c>
      <c r="V518" s="1">
        <f t="shared" si="507"/>
        <v>0</v>
      </c>
      <c r="W518" s="1">
        <f t="shared" si="508"/>
        <v>950</v>
      </c>
      <c r="X518" s="1">
        <v>900</v>
      </c>
      <c r="Y518" s="41">
        <f t="shared" si="496"/>
        <v>-50</v>
      </c>
      <c r="Z518" s="1">
        <f t="shared" si="509"/>
        <v>900</v>
      </c>
      <c r="AA518" s="1">
        <v>900</v>
      </c>
      <c r="AB518" s="1">
        <f t="shared" si="510"/>
        <v>0</v>
      </c>
      <c r="AC518" s="1">
        <f t="shared" si="511"/>
        <v>900</v>
      </c>
      <c r="AD518" s="41">
        <v>900</v>
      </c>
      <c r="AE518" s="1">
        <f t="shared" si="486"/>
        <v>0</v>
      </c>
      <c r="AF518" s="1">
        <f t="shared" si="487"/>
        <v>900</v>
      </c>
    </row>
    <row r="519" spans="1:32" outlineLevel="2">
      <c r="A519" s="11">
        <v>33700</v>
      </c>
      <c r="B519" s="11">
        <v>48100</v>
      </c>
      <c r="C519" s="39" t="s">
        <v>834</v>
      </c>
      <c r="D519" s="7"/>
      <c r="E519" s="7"/>
      <c r="F519" s="7"/>
      <c r="G519" s="7"/>
      <c r="H519" s="7"/>
      <c r="I519" s="1"/>
      <c r="J519" s="1"/>
      <c r="K519" s="1"/>
      <c r="L519" s="1"/>
      <c r="M519" s="8"/>
      <c r="N519" s="1"/>
      <c r="O519" s="1"/>
      <c r="T519" s="1"/>
      <c r="V519" s="1"/>
      <c r="W519" s="1"/>
      <c r="Y519" s="41"/>
      <c r="Z519" s="1">
        <v>0</v>
      </c>
      <c r="AA519" s="1">
        <f>3100-515</f>
        <v>2585</v>
      </c>
      <c r="AB519" s="1">
        <f t="shared" ref="AB519" si="517">AA519-Z519</f>
        <v>2585</v>
      </c>
      <c r="AC519" s="1">
        <f t="shared" ref="AC519" si="518">Z519+AB519</f>
        <v>2585</v>
      </c>
      <c r="AD519" s="41">
        <v>4900</v>
      </c>
      <c r="AE519" s="1">
        <f t="shared" si="486"/>
        <v>2315</v>
      </c>
      <c r="AF519" s="1">
        <f t="shared" si="487"/>
        <v>4900</v>
      </c>
    </row>
    <row r="520" spans="1:32" outlineLevel="2">
      <c r="A520" s="11">
        <v>33710</v>
      </c>
      <c r="B520" s="11">
        <v>61900</v>
      </c>
      <c r="C520" s="39" t="s">
        <v>952</v>
      </c>
      <c r="D520" s="7"/>
      <c r="E520" s="7"/>
      <c r="F520" s="7"/>
      <c r="G520" s="7"/>
      <c r="H520" s="7"/>
      <c r="I520" s="7"/>
      <c r="J520" s="7"/>
      <c r="K520" s="7"/>
      <c r="L520" s="7"/>
      <c r="N520" s="7"/>
      <c r="O520" s="7"/>
      <c r="T520" s="1"/>
      <c r="V520" s="1"/>
      <c r="W520" s="1"/>
      <c r="Y520" s="41"/>
      <c r="Z520" s="1"/>
      <c r="AB520" s="1"/>
      <c r="AC520" s="1">
        <v>0</v>
      </c>
      <c r="AD520" s="41">
        <v>68000</v>
      </c>
      <c r="AE520" s="1">
        <f t="shared" ref="AE520" si="519">AD520-AC520</f>
        <v>68000</v>
      </c>
      <c r="AF520" s="1">
        <f t="shared" ref="AF520" si="520">AC520+AE520</f>
        <v>68000</v>
      </c>
    </row>
    <row r="521" spans="1:32" outlineLevel="2">
      <c r="A521" s="11">
        <v>33710</v>
      </c>
      <c r="B521" s="13">
        <v>12001</v>
      </c>
      <c r="C521" s="11" t="s">
        <v>598</v>
      </c>
      <c r="D521" s="7"/>
      <c r="E521" s="7"/>
      <c r="F521" s="7"/>
      <c r="G521" s="7"/>
      <c r="H521" s="7"/>
      <c r="I521" s="7"/>
      <c r="J521" s="7"/>
      <c r="K521" s="7"/>
      <c r="L521" s="7"/>
      <c r="N521" s="7"/>
      <c r="O521" s="7"/>
      <c r="T521" s="1"/>
      <c r="V521" s="1"/>
      <c r="W521" s="1"/>
      <c r="Y521" s="41"/>
      <c r="Z521" s="1">
        <v>0</v>
      </c>
      <c r="AA521" s="1">
        <v>13165.95</v>
      </c>
      <c r="AB521" s="1">
        <f t="shared" ref="AB521" si="521">AA521-Z521</f>
        <v>13165.95</v>
      </c>
      <c r="AC521" s="1">
        <f t="shared" ref="AC521" si="522">Z521+AB521</f>
        <v>13165.95</v>
      </c>
      <c r="AD521" s="41">
        <v>13363.5</v>
      </c>
      <c r="AE521" s="1">
        <f t="shared" si="486"/>
        <v>197.54999999999927</v>
      </c>
      <c r="AF521" s="1">
        <f t="shared" si="487"/>
        <v>13363.5</v>
      </c>
    </row>
    <row r="522" spans="1:32" outlineLevel="2">
      <c r="A522" s="11">
        <v>33710</v>
      </c>
      <c r="B522" s="11">
        <v>12005</v>
      </c>
      <c r="C522" s="11" t="s">
        <v>601</v>
      </c>
      <c r="D522" s="7"/>
      <c r="E522" s="7"/>
      <c r="F522" s="7"/>
      <c r="G522" s="7"/>
      <c r="H522" s="7"/>
      <c r="I522" s="7"/>
      <c r="J522" s="7"/>
      <c r="K522" s="7"/>
      <c r="L522" s="7"/>
      <c r="N522" s="7"/>
      <c r="O522" s="7"/>
      <c r="Q522" s="1">
        <v>0</v>
      </c>
      <c r="R522" s="1">
        <v>15357.16</v>
      </c>
      <c r="S522" s="1">
        <f>R522-Q522</f>
        <v>15357.16</v>
      </c>
      <c r="T522" s="1">
        <f>Q522+S522</f>
        <v>15357.16</v>
      </c>
      <c r="U522" s="1">
        <v>15357.16</v>
      </c>
      <c r="V522" s="1">
        <f t="shared" si="507"/>
        <v>0</v>
      </c>
      <c r="W522" s="1">
        <f t="shared" si="508"/>
        <v>15357.16</v>
      </c>
      <c r="X522" s="1">
        <v>15510.74</v>
      </c>
      <c r="Y522" s="41">
        <f t="shared" si="496"/>
        <v>153.57999999999993</v>
      </c>
      <c r="Z522" s="1">
        <f t="shared" si="509"/>
        <v>15510.74</v>
      </c>
      <c r="AA522" s="1">
        <v>23498.97</v>
      </c>
      <c r="AB522" s="1">
        <f t="shared" si="510"/>
        <v>7988.2300000000014</v>
      </c>
      <c r="AC522" s="1">
        <f t="shared" si="511"/>
        <v>23498.97</v>
      </c>
      <c r="AD522" s="41">
        <v>23851.47</v>
      </c>
      <c r="AE522" s="1">
        <f t="shared" si="486"/>
        <v>352.5</v>
      </c>
      <c r="AF522" s="1">
        <f t="shared" si="487"/>
        <v>23851.47</v>
      </c>
    </row>
    <row r="523" spans="1:32" outlineLevel="2">
      <c r="A523" s="11">
        <v>33710</v>
      </c>
      <c r="B523" s="11">
        <v>12006</v>
      </c>
      <c r="C523" s="11" t="s">
        <v>81</v>
      </c>
      <c r="D523" s="7">
        <v>0</v>
      </c>
      <c r="E523" s="7">
        <v>4284.58</v>
      </c>
      <c r="F523" s="7">
        <f t="shared" si="474"/>
        <v>-4284.58</v>
      </c>
      <c r="G523" s="7">
        <v>4284.58</v>
      </c>
      <c r="H523" s="7">
        <f t="shared" si="514"/>
        <v>4284.58</v>
      </c>
      <c r="I523" s="7">
        <v>5373.9</v>
      </c>
      <c r="J523" s="7">
        <f t="shared" si="495"/>
        <v>-1089.3199999999997</v>
      </c>
      <c r="K523" s="7">
        <v>1089.32</v>
      </c>
      <c r="L523" s="7">
        <v>5373.9</v>
      </c>
      <c r="M523" s="7">
        <v>0</v>
      </c>
      <c r="N523" s="7">
        <f t="shared" si="513"/>
        <v>5373.9</v>
      </c>
      <c r="O523" s="7">
        <v>5843.05</v>
      </c>
      <c r="P523" s="1">
        <f t="shared" ref="P523:P525" si="523">O523-N523</f>
        <v>469.15000000000055</v>
      </c>
      <c r="Q523" s="1">
        <f t="shared" si="504"/>
        <v>5843.05</v>
      </c>
      <c r="R523" s="1">
        <v>6725.32</v>
      </c>
      <c r="S523" s="1">
        <f t="shared" ref="S523:S525" si="524">R523-Q523</f>
        <v>882.26999999999953</v>
      </c>
      <c r="T523" s="1">
        <f t="shared" si="506"/>
        <v>6725.32</v>
      </c>
      <c r="U523" s="1">
        <v>821.67</v>
      </c>
      <c r="V523" s="1">
        <f t="shared" si="507"/>
        <v>-5903.65</v>
      </c>
      <c r="W523" s="1">
        <f t="shared" si="508"/>
        <v>821.67000000000007</v>
      </c>
      <c r="X523" s="1">
        <v>952.33</v>
      </c>
      <c r="Y523" s="41">
        <f t="shared" si="496"/>
        <v>130.65999999999997</v>
      </c>
      <c r="Z523" s="1">
        <f t="shared" si="509"/>
        <v>952.33</v>
      </c>
      <c r="AA523" s="1">
        <v>3525.96</v>
      </c>
      <c r="AB523" s="1">
        <f t="shared" si="510"/>
        <v>2573.63</v>
      </c>
      <c r="AC523" s="1">
        <f t="shared" si="511"/>
        <v>3525.96</v>
      </c>
      <c r="AD523" s="41">
        <v>4143.3900000000003</v>
      </c>
      <c r="AE523" s="1">
        <f t="shared" si="486"/>
        <v>617.43000000000029</v>
      </c>
      <c r="AF523" s="1">
        <f t="shared" si="487"/>
        <v>4143.3900000000003</v>
      </c>
    </row>
    <row r="524" spans="1:32" outlineLevel="2">
      <c r="A524" s="11">
        <v>33710</v>
      </c>
      <c r="B524" s="11">
        <v>12100</v>
      </c>
      <c r="C524" s="11" t="s">
        <v>118</v>
      </c>
      <c r="D524" s="7">
        <v>19220.72</v>
      </c>
      <c r="E524" s="7">
        <v>7363.09</v>
      </c>
      <c r="F524" s="7">
        <f>D524-E524</f>
        <v>11857.630000000001</v>
      </c>
      <c r="G524" s="7">
        <v>-11857.63</v>
      </c>
      <c r="H524" s="7">
        <f>D524+G524</f>
        <v>7363.090000000002</v>
      </c>
      <c r="I524" s="7">
        <v>8160.88</v>
      </c>
      <c r="J524" s="7">
        <f t="shared" si="495"/>
        <v>-797.78999999999814</v>
      </c>
      <c r="K524" s="7">
        <v>797.79</v>
      </c>
      <c r="L524" s="7">
        <v>8160.88</v>
      </c>
      <c r="M524" s="7">
        <v>0</v>
      </c>
      <c r="N524" s="7">
        <f t="shared" si="513"/>
        <v>8160.88</v>
      </c>
      <c r="O524" s="7">
        <v>8160.88</v>
      </c>
      <c r="P524" s="1">
        <f t="shared" si="523"/>
        <v>0</v>
      </c>
      <c r="Q524" s="1">
        <f t="shared" si="504"/>
        <v>8160.88</v>
      </c>
      <c r="R524" s="1">
        <f>27371.96-11300.24</f>
        <v>16071.72</v>
      </c>
      <c r="S524" s="1">
        <f t="shared" si="524"/>
        <v>7910.8399999999992</v>
      </c>
      <c r="T524" s="1">
        <f t="shared" si="506"/>
        <v>16071.72</v>
      </c>
      <c r="U524" s="1">
        <v>16071.72</v>
      </c>
      <c r="V524" s="1">
        <f t="shared" si="507"/>
        <v>0</v>
      </c>
      <c r="W524" s="1">
        <f t="shared" si="508"/>
        <v>16071.72</v>
      </c>
      <c r="X524" s="1">
        <v>7989.94</v>
      </c>
      <c r="Y524" s="41">
        <f t="shared" si="496"/>
        <v>-8081.78</v>
      </c>
      <c r="Z524" s="1">
        <f t="shared" si="509"/>
        <v>7989.94</v>
      </c>
      <c r="AA524" s="1">
        <v>19386.22</v>
      </c>
      <c r="AB524" s="1">
        <f t="shared" si="510"/>
        <v>11396.280000000002</v>
      </c>
      <c r="AC524" s="1">
        <f t="shared" si="511"/>
        <v>19386.22</v>
      </c>
      <c r="AD524" s="41">
        <v>19677.310000000001</v>
      </c>
      <c r="AE524" s="1">
        <f t="shared" si="486"/>
        <v>291.09000000000015</v>
      </c>
      <c r="AF524" s="1">
        <f t="shared" si="487"/>
        <v>19677.310000000001</v>
      </c>
    </row>
    <row r="525" spans="1:32" outlineLevel="2">
      <c r="A525" s="11">
        <v>33710</v>
      </c>
      <c r="B525" s="11">
        <v>12101</v>
      </c>
      <c r="C525" s="11" t="s">
        <v>119</v>
      </c>
      <c r="D525" s="7">
        <v>0</v>
      </c>
      <c r="E525" s="7">
        <v>11915.3</v>
      </c>
      <c r="F525" s="7">
        <f>D525-E525</f>
        <v>-11915.3</v>
      </c>
      <c r="G525" s="7">
        <v>11915.3</v>
      </c>
      <c r="H525" s="7">
        <f>D525+G525</f>
        <v>11915.3</v>
      </c>
      <c r="I525" s="7">
        <v>13206.34</v>
      </c>
      <c r="J525" s="7">
        <f t="shared" si="495"/>
        <v>-1291.0400000000009</v>
      </c>
      <c r="K525" s="7">
        <v>1291.04</v>
      </c>
      <c r="L525" s="7">
        <v>13206.34</v>
      </c>
      <c r="M525" s="7">
        <v>0</v>
      </c>
      <c r="N525" s="7">
        <f t="shared" si="513"/>
        <v>13206.34</v>
      </c>
      <c r="O525" s="7">
        <v>13206.48</v>
      </c>
      <c r="P525" s="1">
        <f t="shared" si="523"/>
        <v>0.13999999999941792</v>
      </c>
      <c r="Q525" s="1">
        <f t="shared" si="504"/>
        <v>13206.48</v>
      </c>
      <c r="R525" s="1">
        <f>13206.48+11300.24</f>
        <v>24506.720000000001</v>
      </c>
      <c r="S525" s="1">
        <f t="shared" si="524"/>
        <v>11300.240000000002</v>
      </c>
      <c r="T525" s="1">
        <f t="shared" si="506"/>
        <v>24506.720000000001</v>
      </c>
      <c r="U525" s="1">
        <v>24506.720000000001</v>
      </c>
      <c r="V525" s="1">
        <f t="shared" si="507"/>
        <v>0</v>
      </c>
      <c r="W525" s="1">
        <f t="shared" si="508"/>
        <v>24506.720000000001</v>
      </c>
      <c r="X525" s="1">
        <v>11413.24</v>
      </c>
      <c r="Y525" s="41">
        <f t="shared" si="496"/>
        <v>-13093.480000000001</v>
      </c>
      <c r="Z525" s="1">
        <f t="shared" si="509"/>
        <v>11413.24</v>
      </c>
      <c r="AA525" s="1">
        <v>25582.66</v>
      </c>
      <c r="AB525" s="1">
        <f t="shared" si="510"/>
        <v>14169.42</v>
      </c>
      <c r="AC525" s="1">
        <f t="shared" si="511"/>
        <v>25582.66</v>
      </c>
      <c r="AD525" s="41">
        <v>25966.21</v>
      </c>
      <c r="AE525" s="1">
        <f t="shared" si="486"/>
        <v>383.54999999999927</v>
      </c>
      <c r="AF525" s="1">
        <f t="shared" si="487"/>
        <v>25966.21</v>
      </c>
    </row>
    <row r="526" spans="1:32" outlineLevel="2">
      <c r="A526" s="11">
        <v>33710</v>
      </c>
      <c r="B526" s="11">
        <v>15100</v>
      </c>
      <c r="C526" s="39" t="s">
        <v>855</v>
      </c>
      <c r="D526" s="7"/>
      <c r="E526" s="7"/>
      <c r="F526" s="7"/>
      <c r="G526" s="7"/>
      <c r="H526" s="7"/>
      <c r="I526" s="7"/>
      <c r="J526" s="7"/>
      <c r="K526" s="7"/>
      <c r="L526" s="7"/>
      <c r="N526" s="7"/>
      <c r="O526" s="7"/>
      <c r="T526" s="1"/>
      <c r="V526" s="1"/>
      <c r="W526" s="1"/>
      <c r="Y526" s="41"/>
      <c r="Z526" s="1">
        <v>0</v>
      </c>
      <c r="AA526" s="1">
        <v>300</v>
      </c>
      <c r="AB526" s="1">
        <f t="shared" ref="AB526" si="525">AA526-Z526</f>
        <v>300</v>
      </c>
      <c r="AC526" s="1">
        <f t="shared" ref="AC526" si="526">Z526+AB526</f>
        <v>300</v>
      </c>
      <c r="AD526" s="41">
        <v>300</v>
      </c>
      <c r="AE526" s="1">
        <f t="shared" si="486"/>
        <v>0</v>
      </c>
      <c r="AF526" s="1">
        <f t="shared" si="487"/>
        <v>300</v>
      </c>
    </row>
    <row r="527" spans="1:32" outlineLevel="2">
      <c r="A527" s="11">
        <v>33710</v>
      </c>
      <c r="B527" s="59">
        <v>16000</v>
      </c>
      <c r="C527" s="65" t="s">
        <v>754</v>
      </c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>
        <v>0</v>
      </c>
      <c r="U527" s="53"/>
      <c r="V527" s="53">
        <f t="shared" ref="V527" si="527">U527-T527</f>
        <v>0</v>
      </c>
      <c r="W527" s="53">
        <f t="shared" ref="W527" si="528">T527+V527</f>
        <v>0</v>
      </c>
      <c r="X527" s="1">
        <v>0</v>
      </c>
      <c r="Y527" s="41">
        <f t="shared" si="496"/>
        <v>0</v>
      </c>
      <c r="Z527" s="1">
        <f t="shared" si="509"/>
        <v>0</v>
      </c>
      <c r="AA527" s="1">
        <v>0</v>
      </c>
      <c r="AB527" s="1">
        <f t="shared" si="510"/>
        <v>0</v>
      </c>
      <c r="AC527" s="1">
        <f t="shared" si="511"/>
        <v>0</v>
      </c>
      <c r="AD527" s="41">
        <v>26046.01</v>
      </c>
      <c r="AE527" s="1">
        <f t="shared" si="486"/>
        <v>26046.01</v>
      </c>
      <c r="AF527" s="1">
        <f t="shared" si="487"/>
        <v>26046.01</v>
      </c>
    </row>
    <row r="528" spans="1:32" outlineLevel="2">
      <c r="A528" s="11">
        <v>33710</v>
      </c>
      <c r="B528" s="11">
        <v>20300</v>
      </c>
      <c r="C528" s="11" t="s">
        <v>344</v>
      </c>
      <c r="D528" s="7">
        <v>800</v>
      </c>
      <c r="E528" s="7"/>
      <c r="F528" s="7">
        <f t="shared" ref="F528:F535" si="529">D528-E528</f>
        <v>800</v>
      </c>
      <c r="G528" s="7"/>
      <c r="H528" s="7">
        <f t="shared" ref="H528:H535" si="530">D528+G528</f>
        <v>800</v>
      </c>
      <c r="I528" s="7"/>
      <c r="J528" s="7">
        <f t="shared" si="495"/>
        <v>800</v>
      </c>
      <c r="K528" s="7"/>
      <c r="L528" s="7">
        <v>800</v>
      </c>
      <c r="M528" s="7">
        <v>0</v>
      </c>
      <c r="N528" s="7">
        <f t="shared" si="513"/>
        <v>800</v>
      </c>
      <c r="O528" s="7"/>
      <c r="Q528" s="1">
        <f t="shared" si="504"/>
        <v>800</v>
      </c>
      <c r="T528" s="1">
        <f t="shared" si="506"/>
        <v>800</v>
      </c>
      <c r="U528" s="1">
        <f t="shared" si="506"/>
        <v>800</v>
      </c>
      <c r="V528" s="1">
        <f t="shared" si="507"/>
        <v>0</v>
      </c>
      <c r="W528" s="1">
        <f t="shared" si="508"/>
        <v>800</v>
      </c>
      <c r="X528" s="1">
        <v>800</v>
      </c>
      <c r="Y528" s="41">
        <f t="shared" si="496"/>
        <v>0</v>
      </c>
      <c r="Z528" s="1">
        <f t="shared" si="509"/>
        <v>800</v>
      </c>
      <c r="AA528" s="1">
        <f t="shared" si="509"/>
        <v>1600</v>
      </c>
      <c r="AB528" s="1">
        <f t="shared" si="510"/>
        <v>800</v>
      </c>
      <c r="AC528" s="1">
        <f t="shared" si="511"/>
        <v>1600</v>
      </c>
      <c r="AD528" s="41">
        <v>3000</v>
      </c>
      <c r="AE528" s="1">
        <f t="shared" si="486"/>
        <v>1400</v>
      </c>
      <c r="AF528" s="1">
        <f t="shared" si="487"/>
        <v>3000</v>
      </c>
    </row>
    <row r="529" spans="1:32" outlineLevel="2">
      <c r="A529" s="11">
        <v>33710</v>
      </c>
      <c r="B529" s="11">
        <v>21200</v>
      </c>
      <c r="C529" s="11" t="s">
        <v>320</v>
      </c>
      <c r="D529" s="7">
        <v>4000</v>
      </c>
      <c r="E529" s="7"/>
      <c r="F529" s="7">
        <f t="shared" si="529"/>
        <v>4000</v>
      </c>
      <c r="G529" s="7"/>
      <c r="H529" s="7">
        <f t="shared" si="530"/>
        <v>4000</v>
      </c>
      <c r="I529" s="7"/>
      <c r="J529" s="7">
        <f t="shared" si="495"/>
        <v>4000</v>
      </c>
      <c r="K529" s="7"/>
      <c r="L529" s="7">
        <v>4000</v>
      </c>
      <c r="M529" s="7">
        <v>0</v>
      </c>
      <c r="N529" s="7">
        <f t="shared" si="513"/>
        <v>4000</v>
      </c>
      <c r="O529" s="7"/>
      <c r="Q529" s="1">
        <f t="shared" si="504"/>
        <v>4000</v>
      </c>
      <c r="T529" s="1">
        <f t="shared" si="506"/>
        <v>4000</v>
      </c>
      <c r="U529" s="1">
        <v>19000</v>
      </c>
      <c r="V529" s="1">
        <v>15000</v>
      </c>
      <c r="W529" s="1">
        <f t="shared" si="508"/>
        <v>19000</v>
      </c>
      <c r="X529" s="1">
        <v>19000</v>
      </c>
      <c r="Y529" s="41">
        <f t="shared" si="496"/>
        <v>0</v>
      </c>
      <c r="Z529" s="1">
        <f t="shared" si="509"/>
        <v>19000</v>
      </c>
      <c r="AA529" s="1">
        <f t="shared" si="509"/>
        <v>38000</v>
      </c>
      <c r="AB529" s="1">
        <f t="shared" si="510"/>
        <v>19000</v>
      </c>
      <c r="AC529" s="1">
        <f t="shared" si="511"/>
        <v>38000</v>
      </c>
      <c r="AD529" s="41">
        <v>38000</v>
      </c>
      <c r="AE529" s="1">
        <f t="shared" si="486"/>
        <v>0</v>
      </c>
      <c r="AF529" s="1">
        <f t="shared" si="487"/>
        <v>38000</v>
      </c>
    </row>
    <row r="530" spans="1:32" outlineLevel="2">
      <c r="A530" s="11">
        <v>33710</v>
      </c>
      <c r="B530" s="11">
        <v>21300</v>
      </c>
      <c r="C530" s="11" t="s">
        <v>380</v>
      </c>
      <c r="D530" s="7">
        <v>20000</v>
      </c>
      <c r="E530" s="7"/>
      <c r="F530" s="7">
        <f t="shared" si="529"/>
        <v>20000</v>
      </c>
      <c r="G530" s="7">
        <v>-5000</v>
      </c>
      <c r="H530" s="7">
        <f t="shared" si="530"/>
        <v>15000</v>
      </c>
      <c r="I530" s="7"/>
      <c r="J530" s="7">
        <f t="shared" si="495"/>
        <v>15000</v>
      </c>
      <c r="K530" s="7"/>
      <c r="L530" s="7">
        <v>15000</v>
      </c>
      <c r="M530" s="7">
        <v>0</v>
      </c>
      <c r="N530" s="7">
        <f t="shared" si="513"/>
        <v>15000</v>
      </c>
      <c r="O530" s="7"/>
      <c r="Q530" s="1">
        <f t="shared" si="504"/>
        <v>15000</v>
      </c>
      <c r="T530" s="1">
        <f t="shared" si="506"/>
        <v>15000</v>
      </c>
      <c r="U530" s="1">
        <f t="shared" si="506"/>
        <v>15000</v>
      </c>
      <c r="V530" s="1">
        <f t="shared" si="507"/>
        <v>0</v>
      </c>
      <c r="W530" s="1">
        <f t="shared" si="508"/>
        <v>15000</v>
      </c>
      <c r="X530" s="1">
        <v>15000</v>
      </c>
      <c r="Y530" s="41">
        <f t="shared" si="496"/>
        <v>0</v>
      </c>
      <c r="Z530" s="1">
        <f t="shared" si="509"/>
        <v>15000</v>
      </c>
      <c r="AA530" s="1">
        <f t="shared" si="509"/>
        <v>30000</v>
      </c>
      <c r="AB530" s="1">
        <f t="shared" si="510"/>
        <v>15000</v>
      </c>
      <c r="AC530" s="1">
        <f t="shared" si="511"/>
        <v>30000</v>
      </c>
      <c r="AD530" s="41">
        <f>30000-2305</f>
        <v>27695</v>
      </c>
      <c r="AE530" s="1">
        <f t="shared" si="486"/>
        <v>-2305</v>
      </c>
      <c r="AF530" s="1">
        <f t="shared" si="487"/>
        <v>27695</v>
      </c>
    </row>
    <row r="531" spans="1:32" s="2" customFormat="1" outlineLevel="1">
      <c r="A531" s="11">
        <v>33710</v>
      </c>
      <c r="B531" s="11">
        <v>22000</v>
      </c>
      <c r="C531" s="11" t="s">
        <v>280</v>
      </c>
      <c r="D531" s="7">
        <v>100</v>
      </c>
      <c r="E531" s="7"/>
      <c r="F531" s="7">
        <f t="shared" si="529"/>
        <v>100</v>
      </c>
      <c r="G531" s="7"/>
      <c r="H531" s="7">
        <f t="shared" si="530"/>
        <v>100</v>
      </c>
      <c r="I531" s="7"/>
      <c r="J531" s="7">
        <f t="shared" si="495"/>
        <v>100</v>
      </c>
      <c r="K531" s="7"/>
      <c r="L531" s="7">
        <v>100</v>
      </c>
      <c r="M531" s="7">
        <v>0</v>
      </c>
      <c r="N531" s="7">
        <f t="shared" si="513"/>
        <v>100</v>
      </c>
      <c r="O531" s="7"/>
      <c r="P531" s="3"/>
      <c r="Q531" s="1">
        <f t="shared" si="504"/>
        <v>100</v>
      </c>
      <c r="R531" s="3"/>
      <c r="S531" s="3"/>
      <c r="T531" s="1">
        <f t="shared" si="506"/>
        <v>100</v>
      </c>
      <c r="U531" s="1">
        <f t="shared" si="506"/>
        <v>100</v>
      </c>
      <c r="V531" s="1">
        <f t="shared" si="507"/>
        <v>0</v>
      </c>
      <c r="W531" s="1">
        <f t="shared" si="508"/>
        <v>100</v>
      </c>
      <c r="X531" s="41">
        <v>1000</v>
      </c>
      <c r="Y531" s="41">
        <f t="shared" si="496"/>
        <v>900</v>
      </c>
      <c r="Z531" s="1">
        <f t="shared" si="509"/>
        <v>1000</v>
      </c>
      <c r="AA531" s="1">
        <f t="shared" si="509"/>
        <v>2000</v>
      </c>
      <c r="AB531" s="1">
        <f t="shared" si="510"/>
        <v>1000</v>
      </c>
      <c r="AC531" s="1">
        <f t="shared" si="511"/>
        <v>2000</v>
      </c>
      <c r="AD531" s="41">
        <v>1000</v>
      </c>
      <c r="AE531" s="1">
        <f t="shared" ref="AE531:AE537" si="531">AD531-AC531</f>
        <v>-1000</v>
      </c>
      <c r="AF531" s="1">
        <f t="shared" ref="AF531:AF598" si="532">AC531+AE531</f>
        <v>1000</v>
      </c>
    </row>
    <row r="532" spans="1:32" outlineLevel="2">
      <c r="A532" s="11">
        <v>33710</v>
      </c>
      <c r="B532" s="11">
        <v>22199</v>
      </c>
      <c r="C532" s="11" t="s">
        <v>232</v>
      </c>
      <c r="D532" s="7">
        <v>6424.29</v>
      </c>
      <c r="E532" s="7"/>
      <c r="F532" s="7">
        <f t="shared" si="529"/>
        <v>6424.29</v>
      </c>
      <c r="G532" s="7">
        <v>-1424.29</v>
      </c>
      <c r="H532" s="7">
        <f t="shared" si="530"/>
        <v>5000</v>
      </c>
      <c r="I532" s="7"/>
      <c r="J532" s="7">
        <f t="shared" si="495"/>
        <v>5000</v>
      </c>
      <c r="K532" s="7"/>
      <c r="L532" s="7">
        <v>5000</v>
      </c>
      <c r="M532" s="7">
        <v>0</v>
      </c>
      <c r="N532" s="7">
        <f t="shared" si="513"/>
        <v>5000</v>
      </c>
      <c r="O532" s="7"/>
      <c r="Q532" s="1">
        <f t="shared" si="504"/>
        <v>5000</v>
      </c>
      <c r="T532" s="1">
        <f t="shared" si="506"/>
        <v>5000</v>
      </c>
      <c r="U532" s="1">
        <f t="shared" si="506"/>
        <v>5000</v>
      </c>
      <c r="V532" s="1">
        <f t="shared" si="507"/>
        <v>0</v>
      </c>
      <c r="W532" s="1">
        <f t="shared" si="508"/>
        <v>5000</v>
      </c>
      <c r="X532" s="1">
        <v>5000</v>
      </c>
      <c r="Y532" s="41">
        <f t="shared" si="496"/>
        <v>0</v>
      </c>
      <c r="Z532" s="1">
        <f t="shared" si="509"/>
        <v>5000</v>
      </c>
      <c r="AA532" s="1">
        <f t="shared" si="509"/>
        <v>10000</v>
      </c>
      <c r="AB532" s="1">
        <f t="shared" si="510"/>
        <v>5000</v>
      </c>
      <c r="AC532" s="1">
        <f t="shared" si="511"/>
        <v>10000</v>
      </c>
      <c r="AD532" s="41">
        <v>1000</v>
      </c>
      <c r="AE532" s="1">
        <f t="shared" si="531"/>
        <v>-9000</v>
      </c>
      <c r="AF532" s="1">
        <f t="shared" si="532"/>
        <v>1000</v>
      </c>
    </row>
    <row r="533" spans="1:32" outlineLevel="2">
      <c r="A533" s="11">
        <v>33710</v>
      </c>
      <c r="B533" s="11">
        <v>22699</v>
      </c>
      <c r="C533" s="11" t="s">
        <v>85</v>
      </c>
      <c r="D533" s="7"/>
      <c r="E533" s="7"/>
      <c r="F533" s="7"/>
      <c r="G533" s="7"/>
      <c r="H533" s="7"/>
      <c r="I533" s="7"/>
      <c r="J533" s="7"/>
      <c r="K533" s="7"/>
      <c r="L533" s="7"/>
      <c r="N533" s="7"/>
      <c r="O533" s="7"/>
      <c r="T533" s="1"/>
      <c r="V533" s="1"/>
      <c r="W533" s="1"/>
      <c r="Y533" s="41"/>
      <c r="Z533" s="1"/>
      <c r="AB533" s="1"/>
      <c r="AC533" s="1">
        <v>0</v>
      </c>
      <c r="AD533" s="41">
        <v>2000</v>
      </c>
      <c r="AE533" s="1">
        <f t="shared" ref="AE533" si="533">AD533-AC533</f>
        <v>2000</v>
      </c>
      <c r="AF533" s="1">
        <f t="shared" ref="AF533" si="534">AC533+AE533</f>
        <v>2000</v>
      </c>
    </row>
    <row r="534" spans="1:32" outlineLevel="2">
      <c r="A534" s="11">
        <v>33710</v>
      </c>
      <c r="B534" s="11">
        <v>23020</v>
      </c>
      <c r="C534" s="11" t="s">
        <v>385</v>
      </c>
      <c r="D534" s="7">
        <v>300.51</v>
      </c>
      <c r="E534" s="7"/>
      <c r="F534" s="7">
        <f t="shared" si="529"/>
        <v>300.51</v>
      </c>
      <c r="G534" s="7"/>
      <c r="H534" s="7">
        <f t="shared" si="530"/>
        <v>300.51</v>
      </c>
      <c r="I534" s="7"/>
      <c r="J534" s="7">
        <f t="shared" si="495"/>
        <v>300.51</v>
      </c>
      <c r="K534" s="7"/>
      <c r="L534" s="7">
        <v>300.51</v>
      </c>
      <c r="M534" s="7">
        <v>0</v>
      </c>
      <c r="N534" s="7">
        <f t="shared" si="513"/>
        <v>300.51</v>
      </c>
      <c r="O534" s="7"/>
      <c r="Q534" s="1">
        <f t="shared" si="504"/>
        <v>300.51</v>
      </c>
      <c r="T534" s="1">
        <f t="shared" si="506"/>
        <v>300.51</v>
      </c>
      <c r="U534" s="1">
        <f t="shared" si="506"/>
        <v>300.51</v>
      </c>
      <c r="V534" s="1">
        <f t="shared" si="507"/>
        <v>0</v>
      </c>
      <c r="W534" s="1">
        <f t="shared" si="508"/>
        <v>300.51</v>
      </c>
      <c r="X534" s="1">
        <v>300</v>
      </c>
      <c r="Y534" s="41">
        <f t="shared" si="496"/>
        <v>-0.50999999999999091</v>
      </c>
      <c r="Z534" s="1">
        <f t="shared" si="509"/>
        <v>300</v>
      </c>
      <c r="AA534" s="1">
        <f t="shared" si="509"/>
        <v>600</v>
      </c>
      <c r="AB534" s="1">
        <f t="shared" si="510"/>
        <v>300</v>
      </c>
      <c r="AC534" s="1">
        <f t="shared" si="511"/>
        <v>600</v>
      </c>
      <c r="AD534" s="41">
        <v>100</v>
      </c>
      <c r="AE534" s="1">
        <f t="shared" si="531"/>
        <v>-500</v>
      </c>
      <c r="AF534" s="1">
        <f t="shared" si="532"/>
        <v>100</v>
      </c>
    </row>
    <row r="535" spans="1:32" outlineLevel="2">
      <c r="A535" s="11">
        <v>33710</v>
      </c>
      <c r="B535" s="11">
        <v>23120</v>
      </c>
      <c r="C535" s="11" t="s">
        <v>386</v>
      </c>
      <c r="D535" s="7">
        <v>300.51</v>
      </c>
      <c r="E535" s="7"/>
      <c r="F535" s="7">
        <f t="shared" si="529"/>
        <v>300.51</v>
      </c>
      <c r="G535" s="7"/>
      <c r="H535" s="7">
        <f t="shared" si="530"/>
        <v>300.51</v>
      </c>
      <c r="I535" s="7"/>
      <c r="J535" s="7">
        <f t="shared" si="495"/>
        <v>300.51</v>
      </c>
      <c r="K535" s="7"/>
      <c r="L535" s="7">
        <v>300.51</v>
      </c>
      <c r="M535" s="7">
        <v>0</v>
      </c>
      <c r="N535" s="7">
        <f t="shared" si="513"/>
        <v>300.51</v>
      </c>
      <c r="O535" s="7"/>
      <c r="Q535" s="1">
        <f t="shared" si="504"/>
        <v>300.51</v>
      </c>
      <c r="T535" s="1">
        <f t="shared" si="506"/>
        <v>300.51</v>
      </c>
      <c r="U535" s="1">
        <f t="shared" si="506"/>
        <v>300.51</v>
      </c>
      <c r="V535" s="1">
        <f t="shared" si="507"/>
        <v>0</v>
      </c>
      <c r="W535" s="1">
        <f t="shared" si="508"/>
        <v>300.51</v>
      </c>
      <c r="X535" s="1">
        <v>300</v>
      </c>
      <c r="Y535" s="41">
        <f t="shared" si="496"/>
        <v>-0.50999999999999091</v>
      </c>
      <c r="Z535" s="1">
        <f t="shared" si="509"/>
        <v>300</v>
      </c>
      <c r="AA535" s="1">
        <f t="shared" si="509"/>
        <v>600</v>
      </c>
      <c r="AB535" s="1">
        <f t="shared" si="510"/>
        <v>300</v>
      </c>
      <c r="AC535" s="1">
        <f t="shared" si="511"/>
        <v>600</v>
      </c>
      <c r="AD535" s="41">
        <v>100</v>
      </c>
      <c r="AE535" s="1">
        <f t="shared" si="531"/>
        <v>-500</v>
      </c>
      <c r="AF535" s="1">
        <f t="shared" si="532"/>
        <v>100</v>
      </c>
    </row>
    <row r="536" spans="1:32" outlineLevel="2">
      <c r="A536" s="11">
        <v>33710</v>
      </c>
      <c r="B536" s="11">
        <v>62300</v>
      </c>
      <c r="C536" s="11" t="s">
        <v>950</v>
      </c>
      <c r="D536" s="7"/>
      <c r="E536" s="7"/>
      <c r="F536" s="7"/>
      <c r="G536" s="7"/>
      <c r="H536" s="7"/>
      <c r="I536" s="7"/>
      <c r="J536" s="7"/>
      <c r="K536" s="7"/>
      <c r="L536" s="7"/>
      <c r="N536" s="7"/>
      <c r="O536" s="7"/>
      <c r="T536" s="1"/>
      <c r="V536" s="1"/>
      <c r="W536" s="1"/>
      <c r="Y536" s="41"/>
      <c r="Z536" s="1"/>
      <c r="AB536" s="1"/>
      <c r="AC536" s="1">
        <v>0</v>
      </c>
      <c r="AD536" s="41">
        <v>2305</v>
      </c>
      <c r="AE536" s="1">
        <f t="shared" ref="AE536" si="535">AD536-AC536</f>
        <v>2305</v>
      </c>
      <c r="AF536" s="1">
        <f t="shared" ref="AF536" si="536">AC536+AE536</f>
        <v>2305</v>
      </c>
    </row>
    <row r="537" spans="1:32" outlineLevel="2">
      <c r="A537" s="11">
        <v>33710</v>
      </c>
      <c r="B537" s="11">
        <v>62500</v>
      </c>
      <c r="C537" s="39" t="s">
        <v>857</v>
      </c>
      <c r="D537" s="7"/>
      <c r="E537" s="7"/>
      <c r="F537" s="7"/>
      <c r="G537" s="7"/>
      <c r="H537" s="7"/>
      <c r="I537" s="7"/>
      <c r="J537" s="7"/>
      <c r="K537" s="7"/>
      <c r="L537" s="7"/>
      <c r="N537" s="7"/>
      <c r="O537" s="7"/>
      <c r="T537" s="1"/>
      <c r="V537" s="1"/>
      <c r="W537" s="1"/>
      <c r="Y537" s="41"/>
      <c r="Z537" s="1">
        <v>0</v>
      </c>
      <c r="AA537" s="1">
        <v>12000</v>
      </c>
      <c r="AB537" s="1">
        <f t="shared" ref="AB537" si="537">AA537-Z537</f>
        <v>12000</v>
      </c>
      <c r="AC537" s="1">
        <f t="shared" ref="AC537" si="538">Z537+AB537</f>
        <v>12000</v>
      </c>
      <c r="AD537" s="41">
        <v>0</v>
      </c>
      <c r="AE537" s="1">
        <f t="shared" si="531"/>
        <v>-12000</v>
      </c>
      <c r="AF537" s="1">
        <f t="shared" si="532"/>
        <v>0</v>
      </c>
    </row>
    <row r="538" spans="1:32" outlineLevel="2">
      <c r="A538" s="9" t="s">
        <v>16</v>
      </c>
      <c r="B538" s="9"/>
      <c r="C538" s="9" t="s">
        <v>782</v>
      </c>
      <c r="D538" s="8">
        <f t="shared" ref="D538:K538" si="539">SUBTOTAL(9,D498:D518)</f>
        <v>234727.54</v>
      </c>
      <c r="E538" s="8">
        <f t="shared" si="539"/>
        <v>12017.09</v>
      </c>
      <c r="F538" s="8">
        <f t="shared" si="539"/>
        <v>222710.45</v>
      </c>
      <c r="G538" s="8">
        <f t="shared" si="539"/>
        <v>-32370.449999999997</v>
      </c>
      <c r="H538" s="8">
        <f t="shared" si="539"/>
        <v>202357.09</v>
      </c>
      <c r="I538" s="8">
        <f t="shared" si="539"/>
        <v>46822.46</v>
      </c>
      <c r="J538" s="8">
        <f t="shared" si="539"/>
        <v>155534.63</v>
      </c>
      <c r="K538" s="8">
        <f t="shared" si="539"/>
        <v>30305.37</v>
      </c>
      <c r="L538" s="8">
        <f>SUBTOTAL(9,L498:L535)</f>
        <v>284904.60000000003</v>
      </c>
      <c r="M538" s="8">
        <f>SUBTOTAL(9,M498:M535)</f>
        <v>-31091.520000000004</v>
      </c>
      <c r="N538" s="8">
        <f>SUBTOTAL(9,N497:N535)</f>
        <v>253813.08000000002</v>
      </c>
      <c r="O538" s="8">
        <f>SUBTOTAL(9,O497:O535)</f>
        <v>108801.52</v>
      </c>
      <c r="P538" s="8">
        <f>SUBTOTAL(9,P497:P535)</f>
        <v>24329.460000000006</v>
      </c>
      <c r="Q538" s="8">
        <f>SUBTOTAL(9,Q497:Q535)</f>
        <v>278142.54000000004</v>
      </c>
      <c r="S538" s="8">
        <f t="shared" ref="S538:Y538" si="540">SUBTOTAL(9,S497:S535)</f>
        <v>77930.84</v>
      </c>
      <c r="T538" s="8">
        <f t="shared" si="540"/>
        <v>356073.38</v>
      </c>
      <c r="U538" s="8">
        <f t="shared" si="540"/>
        <v>391474.53999999992</v>
      </c>
      <c r="V538" s="8">
        <f t="shared" si="540"/>
        <v>35401.159999999996</v>
      </c>
      <c r="W538" s="8">
        <f t="shared" si="540"/>
        <v>391474.53999999992</v>
      </c>
      <c r="X538" s="8">
        <f t="shared" si="540"/>
        <v>526979.68999999994</v>
      </c>
      <c r="Y538" s="8">
        <f t="shared" si="540"/>
        <v>135505.14999999997</v>
      </c>
      <c r="Z538" s="8">
        <f t="shared" ref="Z538:AB538" si="541">SUBTOTAL(9,Z497:Z537)</f>
        <v>526979.68999999994</v>
      </c>
      <c r="AA538" s="8">
        <f t="shared" si="541"/>
        <v>518924.96</v>
      </c>
      <c r="AB538" s="8">
        <f t="shared" si="541"/>
        <v>-8054.7300000000105</v>
      </c>
      <c r="AC538" s="8">
        <f>SUBTOTAL(9,AC497:AC537)</f>
        <v>518924.96</v>
      </c>
      <c r="AD538" s="8">
        <f>SUBTOTAL(9,AD497:AD537)</f>
        <v>659452.97</v>
      </c>
      <c r="AE538" s="8">
        <f>SUBTOTAL(9,AE497:AE537)</f>
        <v>140528.00999999998</v>
      </c>
      <c r="AF538" s="8">
        <f>SUBTOTAL(9,AF497:AF537)</f>
        <v>659452.97</v>
      </c>
    </row>
    <row r="539" spans="1:32" outlineLevel="2">
      <c r="A539" s="13">
        <v>33800</v>
      </c>
      <c r="B539" s="11">
        <v>12004</v>
      </c>
      <c r="C539" s="11" t="s">
        <v>600</v>
      </c>
      <c r="D539" s="7"/>
      <c r="E539" s="7"/>
      <c r="F539" s="7"/>
      <c r="G539" s="7"/>
      <c r="H539" s="7">
        <v>0</v>
      </c>
      <c r="I539" s="16">
        <v>8378.58</v>
      </c>
      <c r="J539" s="16">
        <f t="shared" ref="J539:J542" si="542">H539-I539</f>
        <v>-8378.58</v>
      </c>
      <c r="K539" s="16">
        <v>8378.58</v>
      </c>
      <c r="L539" s="1">
        <f t="shared" ref="L539:L552" si="543">H539+K539</f>
        <v>8378.58</v>
      </c>
      <c r="M539" s="7">
        <v>0</v>
      </c>
      <c r="N539" s="1">
        <f t="shared" ref="N539:N603" si="544">L539+M539</f>
        <v>8378.58</v>
      </c>
      <c r="O539" s="1">
        <v>8378.58</v>
      </c>
      <c r="P539" s="1">
        <f t="shared" ref="P539:P544" si="545">O539-N539</f>
        <v>0</v>
      </c>
      <c r="Q539" s="1">
        <f t="shared" ref="Q539:Q552" si="546">N539+P539</f>
        <v>8378.58</v>
      </c>
      <c r="R539" s="1">
        <v>8378.58</v>
      </c>
      <c r="S539" s="1">
        <f t="shared" ref="S539:S544" si="547">R539-Q539</f>
        <v>0</v>
      </c>
      <c r="T539" s="1">
        <f t="shared" ref="T539:U552" si="548">Q539+S539</f>
        <v>8378.58</v>
      </c>
      <c r="U539" s="1">
        <v>16757.16</v>
      </c>
      <c r="V539" s="1">
        <f t="shared" si="507"/>
        <v>8378.58</v>
      </c>
      <c r="W539" s="1">
        <f t="shared" ref="W539:W552" si="549">T539+V539</f>
        <v>16757.16</v>
      </c>
      <c r="X539" s="1">
        <v>17615.080000000002</v>
      </c>
      <c r="Y539" s="41">
        <f t="shared" si="496"/>
        <v>857.92000000000189</v>
      </c>
      <c r="Z539" s="1">
        <f t="shared" ref="Z539:Z552" si="550">W539+Y539</f>
        <v>17615.080000000002</v>
      </c>
      <c r="AA539" s="1">
        <v>25641.15</v>
      </c>
      <c r="AB539" s="1">
        <f t="shared" si="510"/>
        <v>8026.07</v>
      </c>
      <c r="AC539" s="1">
        <f t="shared" ref="AC539:AC552" si="551">Z539+AB539</f>
        <v>25641.15</v>
      </c>
      <c r="AD539" s="41">
        <v>17350.78</v>
      </c>
      <c r="AE539" s="1">
        <f t="shared" ref="AE539:AE552" si="552">AD539-AC539</f>
        <v>-8290.3700000000026</v>
      </c>
      <c r="AF539" s="1">
        <f t="shared" si="532"/>
        <v>17350.78</v>
      </c>
    </row>
    <row r="540" spans="1:32" outlineLevel="2">
      <c r="A540" s="13">
        <v>33800</v>
      </c>
      <c r="B540" s="11">
        <v>12006</v>
      </c>
      <c r="C540" s="11" t="s">
        <v>81</v>
      </c>
      <c r="D540" s="7">
        <v>0</v>
      </c>
      <c r="E540" s="7"/>
      <c r="F540" s="7">
        <f>D540-E540</f>
        <v>0</v>
      </c>
      <c r="G540" s="7"/>
      <c r="H540" s="7">
        <f>D540+G540</f>
        <v>0</v>
      </c>
      <c r="I540" s="16">
        <v>501.2</v>
      </c>
      <c r="J540" s="16">
        <f t="shared" si="542"/>
        <v>-501.2</v>
      </c>
      <c r="K540" s="16">
        <v>501.2</v>
      </c>
      <c r="L540" s="1">
        <f t="shared" si="543"/>
        <v>501.2</v>
      </c>
      <c r="M540" s="7">
        <v>0</v>
      </c>
      <c r="N540" s="1">
        <f t="shared" si="544"/>
        <v>501.2</v>
      </c>
      <c r="O540" s="1">
        <v>537</v>
      </c>
      <c r="P540" s="1">
        <f t="shared" si="545"/>
        <v>35.800000000000011</v>
      </c>
      <c r="Q540" s="1">
        <f t="shared" si="546"/>
        <v>537</v>
      </c>
      <c r="R540" s="1">
        <v>751.8</v>
      </c>
      <c r="S540" s="1">
        <f t="shared" si="547"/>
        <v>214.79999999999995</v>
      </c>
      <c r="T540" s="1">
        <f t="shared" si="548"/>
        <v>751.8</v>
      </c>
      <c r="U540" s="1">
        <v>1754.2</v>
      </c>
      <c r="V540" s="1">
        <f t="shared" si="507"/>
        <v>1002.4000000000001</v>
      </c>
      <c r="W540" s="1">
        <f t="shared" si="549"/>
        <v>1754.2</v>
      </c>
      <c r="X540" s="1">
        <v>1554.8</v>
      </c>
      <c r="Y540" s="41">
        <f t="shared" si="496"/>
        <v>-199.40000000000009</v>
      </c>
      <c r="Z540" s="1">
        <f t="shared" si="550"/>
        <v>1554.8</v>
      </c>
      <c r="AA540" s="1">
        <v>1789.55</v>
      </c>
      <c r="AB540" s="1">
        <f t="shared" si="510"/>
        <v>234.75</v>
      </c>
      <c r="AC540" s="1">
        <f t="shared" si="551"/>
        <v>1789.55</v>
      </c>
      <c r="AD540" s="41">
        <v>1038.47</v>
      </c>
      <c r="AE540" s="1">
        <f t="shared" si="552"/>
        <v>-751.07999999999993</v>
      </c>
      <c r="AF540" s="1">
        <f t="shared" si="532"/>
        <v>1038.47</v>
      </c>
    </row>
    <row r="541" spans="1:32" outlineLevel="2">
      <c r="A541" s="13">
        <v>33800</v>
      </c>
      <c r="B541" s="11">
        <v>12100</v>
      </c>
      <c r="C541" s="11" t="s">
        <v>144</v>
      </c>
      <c r="D541" s="7">
        <v>11374.27</v>
      </c>
      <c r="E541" s="7">
        <v>0</v>
      </c>
      <c r="F541" s="7">
        <f>D541-E541</f>
        <v>11374.27</v>
      </c>
      <c r="G541" s="7">
        <v>-11374.27</v>
      </c>
      <c r="H541" s="7">
        <f>D541+G541</f>
        <v>0</v>
      </c>
      <c r="I541" s="16">
        <v>5044.75</v>
      </c>
      <c r="J541" s="16">
        <f t="shared" si="542"/>
        <v>-5044.75</v>
      </c>
      <c r="K541" s="16">
        <v>5044.75</v>
      </c>
      <c r="L541" s="1">
        <f t="shared" si="543"/>
        <v>5044.75</v>
      </c>
      <c r="M541" s="7">
        <f>4584.16-L541</f>
        <v>-460.59000000000015</v>
      </c>
      <c r="N541" s="1">
        <f t="shared" si="544"/>
        <v>4584.16</v>
      </c>
      <c r="O541" s="1">
        <v>4584.16</v>
      </c>
      <c r="P541" s="1">
        <f t="shared" si="545"/>
        <v>0</v>
      </c>
      <c r="Q541" s="1">
        <f t="shared" si="546"/>
        <v>4584.16</v>
      </c>
      <c r="R541" s="1">
        <v>4584.16</v>
      </c>
      <c r="S541" s="1">
        <f t="shared" si="547"/>
        <v>0</v>
      </c>
      <c r="T541" s="1">
        <f t="shared" si="548"/>
        <v>4584.16</v>
      </c>
      <c r="U541" s="1">
        <v>14695.38</v>
      </c>
      <c r="V541" s="1">
        <f t="shared" si="507"/>
        <v>10111.219999999999</v>
      </c>
      <c r="W541" s="1">
        <f t="shared" si="549"/>
        <v>14695.38</v>
      </c>
      <c r="X541" s="1">
        <v>9260</v>
      </c>
      <c r="Y541" s="41">
        <f t="shared" si="496"/>
        <v>-5435.3799999999992</v>
      </c>
      <c r="Z541" s="1">
        <f t="shared" si="550"/>
        <v>9260</v>
      </c>
      <c r="AA541" s="1">
        <v>14029.14</v>
      </c>
      <c r="AB541" s="1">
        <f t="shared" si="510"/>
        <v>4769.1399999999994</v>
      </c>
      <c r="AC541" s="1">
        <f t="shared" si="551"/>
        <v>14029.14</v>
      </c>
      <c r="AD541" s="41">
        <v>9493.14</v>
      </c>
      <c r="AE541" s="1">
        <f t="shared" si="552"/>
        <v>-4536</v>
      </c>
      <c r="AF541" s="1">
        <f t="shared" si="532"/>
        <v>9493.14</v>
      </c>
    </row>
    <row r="542" spans="1:32" outlineLevel="2">
      <c r="A542" s="13">
        <v>33800</v>
      </c>
      <c r="B542" s="11">
        <v>12101</v>
      </c>
      <c r="C542" s="11" t="s">
        <v>602</v>
      </c>
      <c r="D542" s="7"/>
      <c r="E542" s="7"/>
      <c r="F542" s="7"/>
      <c r="G542" s="7"/>
      <c r="H542" s="7">
        <v>0</v>
      </c>
      <c r="I542" s="16">
        <v>6475.78</v>
      </c>
      <c r="J542" s="16">
        <f t="shared" si="542"/>
        <v>-6475.78</v>
      </c>
      <c r="K542" s="16">
        <v>6475.78</v>
      </c>
      <c r="L542" s="1">
        <f t="shared" si="543"/>
        <v>6475.78</v>
      </c>
      <c r="M542" s="7">
        <f>5556.88-L542</f>
        <v>-918.89999999999964</v>
      </c>
      <c r="N542" s="1">
        <f t="shared" si="544"/>
        <v>5556.88</v>
      </c>
      <c r="O542" s="1">
        <v>5556.88</v>
      </c>
      <c r="P542" s="1">
        <f t="shared" si="545"/>
        <v>0</v>
      </c>
      <c r="Q542" s="1">
        <f t="shared" si="546"/>
        <v>5556.88</v>
      </c>
      <c r="R542" s="1">
        <v>5556.88</v>
      </c>
      <c r="S542" s="1">
        <f t="shared" si="547"/>
        <v>0</v>
      </c>
      <c r="T542" s="1">
        <f t="shared" si="548"/>
        <v>5556.88</v>
      </c>
      <c r="U542" s="1">
        <v>23117.5</v>
      </c>
      <c r="V542" s="1">
        <f t="shared" si="507"/>
        <v>17560.62</v>
      </c>
      <c r="W542" s="1">
        <f t="shared" si="549"/>
        <v>23117.5</v>
      </c>
      <c r="X542" s="1">
        <v>11224.9</v>
      </c>
      <c r="Y542" s="41">
        <f t="shared" si="496"/>
        <v>-11892.6</v>
      </c>
      <c r="Z542" s="1">
        <f t="shared" si="550"/>
        <v>11224.9</v>
      </c>
      <c r="AA542" s="1">
        <v>20228.18</v>
      </c>
      <c r="AB542" s="1">
        <f t="shared" si="510"/>
        <v>9003.2800000000007</v>
      </c>
      <c r="AC542" s="1">
        <f t="shared" si="551"/>
        <v>20228.18</v>
      </c>
      <c r="AD542" s="41">
        <v>18048.8</v>
      </c>
      <c r="AE542" s="1">
        <f t="shared" si="552"/>
        <v>-2179.380000000001</v>
      </c>
      <c r="AF542" s="1">
        <f t="shared" si="532"/>
        <v>18048.8</v>
      </c>
    </row>
    <row r="543" spans="1:32" outlineLevel="2">
      <c r="A543" s="42">
        <v>33800</v>
      </c>
      <c r="B543" s="11">
        <v>15000</v>
      </c>
      <c r="C543" s="39" t="s">
        <v>387</v>
      </c>
      <c r="D543" s="7"/>
      <c r="E543" s="7"/>
      <c r="F543" s="7"/>
      <c r="G543" s="7"/>
      <c r="H543" s="7"/>
      <c r="I543" s="16"/>
      <c r="J543" s="16"/>
      <c r="K543" s="16"/>
      <c r="L543" s="1"/>
      <c r="N543" s="1"/>
      <c r="O543" s="1"/>
      <c r="T543" s="1"/>
      <c r="V543" s="1"/>
      <c r="W543" s="1">
        <v>0</v>
      </c>
      <c r="X543" s="1">
        <v>1000</v>
      </c>
      <c r="Y543" s="41">
        <f t="shared" ref="Y543" si="553">X543-W543</f>
        <v>1000</v>
      </c>
      <c r="Z543" s="1">
        <f t="shared" ref="Z543" si="554">W543+Y543</f>
        <v>1000</v>
      </c>
      <c r="AA543" s="1">
        <v>0</v>
      </c>
      <c r="AB543" s="1">
        <f t="shared" si="510"/>
        <v>-1000</v>
      </c>
      <c r="AC543" s="1">
        <f t="shared" si="551"/>
        <v>0</v>
      </c>
      <c r="AD543" s="41">
        <v>0</v>
      </c>
      <c r="AE543" s="1">
        <f t="shared" si="552"/>
        <v>0</v>
      </c>
      <c r="AF543" s="1">
        <f t="shared" si="532"/>
        <v>0</v>
      </c>
    </row>
    <row r="544" spans="1:32" outlineLevel="2">
      <c r="A544" s="13">
        <v>33800</v>
      </c>
      <c r="B544" s="19">
        <v>15100</v>
      </c>
      <c r="C544" s="19" t="s">
        <v>538</v>
      </c>
      <c r="D544" s="20">
        <v>1200</v>
      </c>
      <c r="E544" s="20"/>
      <c r="F544" s="20">
        <f t="shared" ref="F544:F605" si="555">D544-E544</f>
        <v>1200</v>
      </c>
      <c r="G544" s="20"/>
      <c r="H544" s="20">
        <f t="shared" si="514"/>
        <v>1200</v>
      </c>
      <c r="I544" s="21">
        <v>1200</v>
      </c>
      <c r="J544" s="22">
        <f t="shared" si="495"/>
        <v>0</v>
      </c>
      <c r="K544" s="21">
        <v>0</v>
      </c>
      <c r="L544" s="21">
        <f t="shared" si="543"/>
        <v>1200</v>
      </c>
      <c r="M544" s="10">
        <v>-1000</v>
      </c>
      <c r="N544" s="1">
        <f t="shared" si="544"/>
        <v>200</v>
      </c>
      <c r="O544" s="1"/>
      <c r="P544" s="1">
        <f t="shared" si="545"/>
        <v>-200</v>
      </c>
      <c r="Q544" s="1">
        <f t="shared" si="546"/>
        <v>0</v>
      </c>
      <c r="S544" s="1">
        <f t="shared" si="547"/>
        <v>0</v>
      </c>
      <c r="T544" s="1">
        <f t="shared" si="548"/>
        <v>0</v>
      </c>
      <c r="V544" s="1">
        <f t="shared" si="507"/>
        <v>0</v>
      </c>
      <c r="W544" s="1">
        <f t="shared" si="549"/>
        <v>0</v>
      </c>
      <c r="X544" s="1">
        <v>0</v>
      </c>
      <c r="Y544" s="41">
        <f t="shared" si="496"/>
        <v>0</v>
      </c>
      <c r="Z544" s="1">
        <f t="shared" si="550"/>
        <v>0</v>
      </c>
      <c r="AA544" s="1">
        <v>4000</v>
      </c>
      <c r="AB544" s="1">
        <f t="shared" si="510"/>
        <v>4000</v>
      </c>
      <c r="AC544" s="1">
        <f t="shared" si="551"/>
        <v>4000</v>
      </c>
      <c r="AD544" s="41">
        <v>4000</v>
      </c>
      <c r="AE544" s="1">
        <f t="shared" si="552"/>
        <v>0</v>
      </c>
      <c r="AF544" s="1">
        <f t="shared" si="532"/>
        <v>4000</v>
      </c>
    </row>
    <row r="545" spans="1:32" outlineLevel="2">
      <c r="A545" s="11">
        <v>33800</v>
      </c>
      <c r="B545" s="59">
        <v>16000</v>
      </c>
      <c r="C545" s="55" t="s">
        <v>755</v>
      </c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>
        <v>0</v>
      </c>
      <c r="U545" s="53"/>
      <c r="V545" s="53">
        <f t="shared" si="507"/>
        <v>0</v>
      </c>
      <c r="W545" s="53">
        <f t="shared" si="549"/>
        <v>0</v>
      </c>
      <c r="X545" s="1">
        <v>0</v>
      </c>
      <c r="Y545" s="41">
        <f t="shared" si="496"/>
        <v>0</v>
      </c>
      <c r="Z545" s="1">
        <f t="shared" si="550"/>
        <v>0</v>
      </c>
      <c r="AA545" s="1">
        <v>0</v>
      </c>
      <c r="AB545" s="1">
        <f t="shared" si="510"/>
        <v>0</v>
      </c>
      <c r="AC545" s="1">
        <f t="shared" si="551"/>
        <v>0</v>
      </c>
      <c r="AD545" s="41">
        <v>12809.21</v>
      </c>
      <c r="AE545" s="1">
        <f t="shared" si="552"/>
        <v>12809.21</v>
      </c>
      <c r="AF545" s="1">
        <f t="shared" si="532"/>
        <v>12809.21</v>
      </c>
    </row>
    <row r="546" spans="1:32" outlineLevel="2">
      <c r="A546" s="11">
        <v>33800</v>
      </c>
      <c r="B546" s="59">
        <v>20200</v>
      </c>
      <c r="C546" s="55" t="s">
        <v>906</v>
      </c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Y546" s="41"/>
      <c r="Z546" s="1"/>
      <c r="AB546" s="1"/>
      <c r="AC546" s="1">
        <v>0</v>
      </c>
      <c r="AD546" s="41">
        <f>1409.54*1.21*12</f>
        <v>20466.520799999998</v>
      </c>
      <c r="AE546" s="1">
        <f t="shared" ref="AE546" si="556">AD546-AC546</f>
        <v>20466.520799999998</v>
      </c>
      <c r="AF546" s="1">
        <f t="shared" ref="AF546" si="557">AC546+AE546</f>
        <v>20466.520799999998</v>
      </c>
    </row>
    <row r="547" spans="1:32" outlineLevel="2">
      <c r="A547" s="13">
        <v>33800</v>
      </c>
      <c r="B547" s="11">
        <v>20300</v>
      </c>
      <c r="C547" s="11" t="s">
        <v>481</v>
      </c>
      <c r="D547" s="7">
        <v>60000</v>
      </c>
      <c r="E547" s="7"/>
      <c r="F547" s="7">
        <f t="shared" si="555"/>
        <v>60000</v>
      </c>
      <c r="G547" s="7"/>
      <c r="H547" s="7">
        <f t="shared" si="514"/>
        <v>60000</v>
      </c>
      <c r="I547" s="1"/>
      <c r="J547" s="1">
        <f t="shared" si="495"/>
        <v>60000</v>
      </c>
      <c r="K547" s="1"/>
      <c r="L547" s="1">
        <f t="shared" si="543"/>
        <v>60000</v>
      </c>
      <c r="M547" s="10"/>
      <c r="N547" s="1">
        <f t="shared" si="544"/>
        <v>60000</v>
      </c>
      <c r="O547" s="1"/>
      <c r="Q547" s="1">
        <f t="shared" si="546"/>
        <v>60000</v>
      </c>
      <c r="T547" s="1">
        <f t="shared" si="548"/>
        <v>60000</v>
      </c>
      <c r="U547" s="1">
        <v>80000</v>
      </c>
      <c r="V547" s="1">
        <f t="shared" si="507"/>
        <v>20000</v>
      </c>
      <c r="W547" s="1">
        <f t="shared" si="549"/>
        <v>80000</v>
      </c>
      <c r="X547" s="1">
        <v>80000</v>
      </c>
      <c r="Y547" s="41">
        <f t="shared" si="496"/>
        <v>0</v>
      </c>
      <c r="Z547" s="1">
        <f t="shared" si="550"/>
        <v>80000</v>
      </c>
      <c r="AA547" s="1">
        <v>80000</v>
      </c>
      <c r="AB547" s="1">
        <f t="shared" si="510"/>
        <v>0</v>
      </c>
      <c r="AC547" s="1">
        <f t="shared" si="551"/>
        <v>80000</v>
      </c>
      <c r="AD547" s="41">
        <v>60000</v>
      </c>
      <c r="AE547" s="1">
        <f t="shared" si="552"/>
        <v>-20000</v>
      </c>
      <c r="AF547" s="1">
        <f t="shared" si="532"/>
        <v>60000</v>
      </c>
    </row>
    <row r="548" spans="1:32" outlineLevel="2">
      <c r="A548" s="13">
        <v>33800</v>
      </c>
      <c r="B548" s="11">
        <v>22101</v>
      </c>
      <c r="C548" s="42" t="s">
        <v>248</v>
      </c>
      <c r="D548" s="7"/>
      <c r="E548" s="7"/>
      <c r="F548" s="7"/>
      <c r="G548" s="7"/>
      <c r="H548" s="7"/>
      <c r="I548" s="1"/>
      <c r="J548" s="1"/>
      <c r="K548" s="1"/>
      <c r="L548" s="1"/>
      <c r="M548" s="10"/>
      <c r="N548" s="1"/>
      <c r="O548" s="1"/>
      <c r="T548" s="1"/>
      <c r="V548" s="1"/>
      <c r="W548" s="1"/>
      <c r="Y548" s="41"/>
      <c r="Z548" s="1"/>
      <c r="AB548" s="1"/>
      <c r="AC548" s="1">
        <v>0</v>
      </c>
      <c r="AD548" s="41">
        <v>50</v>
      </c>
      <c r="AE548" s="1">
        <f t="shared" ref="AE548" si="558">AD548-AC548</f>
        <v>50</v>
      </c>
      <c r="AF548" s="1">
        <f t="shared" ref="AF548" si="559">AC548+AE548</f>
        <v>50</v>
      </c>
    </row>
    <row r="549" spans="1:32" outlineLevel="2">
      <c r="A549" s="13">
        <v>33800</v>
      </c>
      <c r="B549" s="11">
        <v>22699</v>
      </c>
      <c r="C549" s="42" t="s">
        <v>710</v>
      </c>
      <c r="D549" s="7">
        <v>464000</v>
      </c>
      <c r="E549" s="7">
        <v>440000</v>
      </c>
      <c r="F549" s="7">
        <f t="shared" si="555"/>
        <v>24000</v>
      </c>
      <c r="G549" s="7">
        <v>-24000</v>
      </c>
      <c r="H549" s="7">
        <f t="shared" si="514"/>
        <v>440000</v>
      </c>
      <c r="I549" s="1"/>
      <c r="J549" s="1">
        <f t="shared" si="495"/>
        <v>440000</v>
      </c>
      <c r="K549" s="1"/>
      <c r="L549" s="1">
        <f t="shared" si="543"/>
        <v>440000</v>
      </c>
      <c r="M549" s="10">
        <v>-20000</v>
      </c>
      <c r="N549" s="1">
        <f t="shared" si="544"/>
        <v>420000</v>
      </c>
      <c r="O549" s="1"/>
      <c r="Q549" s="1">
        <f t="shared" si="546"/>
        <v>420000</v>
      </c>
      <c r="T549" s="1">
        <f t="shared" si="548"/>
        <v>420000</v>
      </c>
      <c r="U549" s="1">
        <v>400000</v>
      </c>
      <c r="V549" s="1">
        <f t="shared" si="507"/>
        <v>-20000</v>
      </c>
      <c r="W549" s="1">
        <f t="shared" si="549"/>
        <v>400000</v>
      </c>
      <c r="X549" s="1">
        <v>400000</v>
      </c>
      <c r="Y549" s="41">
        <f t="shared" si="496"/>
        <v>0</v>
      </c>
      <c r="Z549" s="1">
        <f t="shared" si="550"/>
        <v>400000</v>
      </c>
      <c r="AA549" s="1">
        <v>400000</v>
      </c>
      <c r="AB549" s="1">
        <f t="shared" si="510"/>
        <v>0</v>
      </c>
      <c r="AC549" s="1">
        <f t="shared" si="551"/>
        <v>400000</v>
      </c>
      <c r="AD549" s="41">
        <v>420000</v>
      </c>
      <c r="AE549" s="1">
        <f t="shared" si="552"/>
        <v>20000</v>
      </c>
      <c r="AF549" s="1">
        <f t="shared" si="532"/>
        <v>420000</v>
      </c>
    </row>
    <row r="550" spans="1:32" outlineLevel="2">
      <c r="A550" s="13">
        <v>33800</v>
      </c>
      <c r="B550" s="11">
        <v>48901</v>
      </c>
      <c r="C550" s="11" t="s">
        <v>482</v>
      </c>
      <c r="D550" s="7">
        <v>68640</v>
      </c>
      <c r="E550" s="7"/>
      <c r="F550" s="7">
        <f t="shared" si="555"/>
        <v>68640</v>
      </c>
      <c r="G550" s="7"/>
      <c r="H550" s="7">
        <f t="shared" si="514"/>
        <v>68640</v>
      </c>
      <c r="I550" s="1"/>
      <c r="J550" s="1">
        <f t="shared" si="495"/>
        <v>68640</v>
      </c>
      <c r="K550" s="1"/>
      <c r="L550" s="1">
        <f t="shared" si="543"/>
        <v>68640</v>
      </c>
      <c r="M550" s="10">
        <f>57000-L550</f>
        <v>-11640</v>
      </c>
      <c r="N550" s="1">
        <f t="shared" si="544"/>
        <v>57000</v>
      </c>
      <c r="O550" s="1"/>
      <c r="P550" s="1">
        <v>-4000</v>
      </c>
      <c r="Q550" s="1">
        <f t="shared" si="546"/>
        <v>53000</v>
      </c>
      <c r="R550" s="1">
        <v>117617</v>
      </c>
      <c r="S550" s="1">
        <f>R550-Q550</f>
        <v>64617</v>
      </c>
      <c r="T550" s="1">
        <f t="shared" si="548"/>
        <v>117617</v>
      </c>
      <c r="U550" s="1">
        <v>117617</v>
      </c>
      <c r="V550" s="1">
        <f t="shared" si="507"/>
        <v>0</v>
      </c>
      <c r="W550" s="1">
        <f t="shared" si="549"/>
        <v>117617</v>
      </c>
      <c r="X550" s="1">
        <v>117617</v>
      </c>
      <c r="Y550" s="41">
        <f t="shared" si="496"/>
        <v>0</v>
      </c>
      <c r="Z550" s="1">
        <f t="shared" si="550"/>
        <v>117617</v>
      </c>
      <c r="AA550" s="1">
        <v>117617</v>
      </c>
      <c r="AB550" s="1">
        <f t="shared" si="510"/>
        <v>0</v>
      </c>
      <c r="AC550" s="1">
        <f t="shared" si="551"/>
        <v>117617</v>
      </c>
      <c r="AD550" s="41">
        <f>117617-6500</f>
        <v>111117</v>
      </c>
      <c r="AE550" s="1">
        <f t="shared" si="552"/>
        <v>-6500</v>
      </c>
      <c r="AF550" s="1">
        <f t="shared" si="532"/>
        <v>111117</v>
      </c>
    </row>
    <row r="551" spans="1:32" outlineLevel="2">
      <c r="A551" s="13">
        <v>33800</v>
      </c>
      <c r="B551" s="11">
        <v>48902</v>
      </c>
      <c r="C551" s="11" t="s">
        <v>483</v>
      </c>
      <c r="D551" s="7">
        <v>116500</v>
      </c>
      <c r="E551" s="7"/>
      <c r="F551" s="7">
        <f t="shared" si="555"/>
        <v>116500</v>
      </c>
      <c r="G551" s="7"/>
      <c r="H551" s="7">
        <f t="shared" si="514"/>
        <v>116500</v>
      </c>
      <c r="I551" s="1"/>
      <c r="J551" s="1">
        <f t="shared" si="495"/>
        <v>116500</v>
      </c>
      <c r="K551" s="1"/>
      <c r="L551" s="1">
        <f t="shared" si="543"/>
        <v>116500</v>
      </c>
      <c r="M551" s="10">
        <f>100617-L551</f>
        <v>-15883</v>
      </c>
      <c r="N551" s="1">
        <f t="shared" si="544"/>
        <v>100617</v>
      </c>
      <c r="O551" s="1"/>
      <c r="P551" s="1">
        <v>-20000</v>
      </c>
      <c r="Q551" s="1">
        <f t="shared" si="546"/>
        <v>80617</v>
      </c>
      <c r="R551" s="1">
        <v>16000</v>
      </c>
      <c r="S551" s="1">
        <f>R551-Q551</f>
        <v>-64617</v>
      </c>
      <c r="T551" s="1">
        <f t="shared" si="548"/>
        <v>16000</v>
      </c>
      <c r="U551" s="1">
        <v>16000</v>
      </c>
      <c r="V551" s="1">
        <f t="shared" si="507"/>
        <v>0</v>
      </c>
      <c r="W551" s="1">
        <f t="shared" si="549"/>
        <v>16000</v>
      </c>
      <c r="X551" s="1">
        <v>16000</v>
      </c>
      <c r="Y551" s="41">
        <f t="shared" si="496"/>
        <v>0</v>
      </c>
      <c r="Z551" s="1">
        <f t="shared" si="550"/>
        <v>16000</v>
      </c>
      <c r="AA551" s="1">
        <v>16000</v>
      </c>
      <c r="AB551" s="1">
        <f t="shared" si="510"/>
        <v>0</v>
      </c>
      <c r="AC551" s="1">
        <f t="shared" si="551"/>
        <v>16000</v>
      </c>
      <c r="AD551" s="41">
        <v>16000</v>
      </c>
      <c r="AE551" s="1">
        <f t="shared" si="552"/>
        <v>0</v>
      </c>
      <c r="AF551" s="1">
        <f t="shared" si="532"/>
        <v>16000</v>
      </c>
    </row>
    <row r="552" spans="1:32" outlineLevel="2">
      <c r="A552" s="13">
        <v>33800</v>
      </c>
      <c r="B552" s="11">
        <v>48903</v>
      </c>
      <c r="C552" s="11" t="s">
        <v>484</v>
      </c>
      <c r="D552" s="7">
        <v>36000</v>
      </c>
      <c r="E552" s="7"/>
      <c r="F552" s="7">
        <f t="shared" si="555"/>
        <v>36000</v>
      </c>
      <c r="G552" s="7"/>
      <c r="H552" s="7">
        <f t="shared" si="514"/>
        <v>36000</v>
      </c>
      <c r="I552" s="1"/>
      <c r="J552" s="1">
        <f t="shared" si="495"/>
        <v>36000</v>
      </c>
      <c r="K552" s="1"/>
      <c r="L552" s="1">
        <f t="shared" si="543"/>
        <v>36000</v>
      </c>
      <c r="M552" s="10">
        <v>-7200</v>
      </c>
      <c r="N552" s="1">
        <f t="shared" si="544"/>
        <v>28800</v>
      </c>
      <c r="O552" s="1"/>
      <c r="P552" s="1">
        <v>-2000</v>
      </c>
      <c r="Q552" s="1">
        <f t="shared" si="546"/>
        <v>26800</v>
      </c>
      <c r="T552" s="1">
        <f t="shared" si="548"/>
        <v>26800</v>
      </c>
      <c r="U552" s="1">
        <f t="shared" si="548"/>
        <v>26800</v>
      </c>
      <c r="V552" s="1">
        <f t="shared" si="507"/>
        <v>0</v>
      </c>
      <c r="W552" s="1">
        <f t="shared" si="549"/>
        <v>26800</v>
      </c>
      <c r="X552" s="1">
        <v>26800</v>
      </c>
      <c r="Y552" s="41">
        <f t="shared" si="496"/>
        <v>0</v>
      </c>
      <c r="Z552" s="1">
        <f t="shared" si="550"/>
        <v>26800</v>
      </c>
      <c r="AA552" s="1">
        <v>30000</v>
      </c>
      <c r="AB552" s="1">
        <f t="shared" si="510"/>
        <v>3200</v>
      </c>
      <c r="AC552" s="1">
        <f t="shared" si="551"/>
        <v>30000</v>
      </c>
      <c r="AD552" s="41">
        <v>30000</v>
      </c>
      <c r="AE552" s="1">
        <f t="shared" si="552"/>
        <v>0</v>
      </c>
      <c r="AF552" s="1">
        <f t="shared" si="532"/>
        <v>30000</v>
      </c>
    </row>
    <row r="553" spans="1:32" outlineLevel="2">
      <c r="A553" s="9" t="s">
        <v>17</v>
      </c>
      <c r="B553" s="9"/>
      <c r="C553" s="9" t="s">
        <v>46</v>
      </c>
      <c r="D553" s="8">
        <f t="shared" ref="D553:Q553" si="560">SUBTOTAL(9,D539:D552)</f>
        <v>757714.27</v>
      </c>
      <c r="E553" s="8">
        <f t="shared" si="560"/>
        <v>440000</v>
      </c>
      <c r="F553" s="8">
        <f t="shared" si="560"/>
        <v>317714.27</v>
      </c>
      <c r="G553" s="8">
        <f t="shared" si="560"/>
        <v>-35374.270000000004</v>
      </c>
      <c r="H553" s="8">
        <f t="shared" si="560"/>
        <v>722340</v>
      </c>
      <c r="I553" s="8">
        <f t="shared" si="560"/>
        <v>21600.31</v>
      </c>
      <c r="J553" s="8">
        <f t="shared" si="560"/>
        <v>700739.69</v>
      </c>
      <c r="K553" s="8">
        <f t="shared" si="560"/>
        <v>20400.310000000001</v>
      </c>
      <c r="L553" s="8">
        <f t="shared" si="560"/>
        <v>742740.31</v>
      </c>
      <c r="M553" s="8">
        <f t="shared" si="560"/>
        <v>-57102.49</v>
      </c>
      <c r="N553" s="8">
        <f t="shared" si="560"/>
        <v>685637.82000000007</v>
      </c>
      <c r="O553" s="8">
        <f t="shared" si="560"/>
        <v>19056.62</v>
      </c>
      <c r="P553" s="8">
        <f t="shared" si="560"/>
        <v>-26164.2</v>
      </c>
      <c r="Q553" s="8">
        <f t="shared" si="560"/>
        <v>659473.62</v>
      </c>
      <c r="S553" s="8">
        <f t="shared" ref="S553:AE553" si="561">SUBTOTAL(9,S539:S552)</f>
        <v>214.80000000000291</v>
      </c>
      <c r="T553" s="8">
        <f t="shared" si="561"/>
        <v>659688.41999999993</v>
      </c>
      <c r="U553" s="8">
        <f t="shared" si="561"/>
        <v>696741.24</v>
      </c>
      <c r="V553" s="8">
        <f t="shared" si="561"/>
        <v>37052.819999999992</v>
      </c>
      <c r="W553" s="8">
        <f t="shared" si="561"/>
        <v>696741.24</v>
      </c>
      <c r="X553" s="8">
        <f t="shared" si="561"/>
        <v>681071.78</v>
      </c>
      <c r="Y553" s="8">
        <f t="shared" si="561"/>
        <v>-15669.46</v>
      </c>
      <c r="Z553" s="8">
        <f t="shared" si="561"/>
        <v>681071.78</v>
      </c>
      <c r="AA553" s="8">
        <f t="shared" si="561"/>
        <v>709305.02</v>
      </c>
      <c r="AB553" s="8">
        <f t="shared" si="561"/>
        <v>28233.239999999998</v>
      </c>
      <c r="AC553" s="8">
        <f t="shared" si="561"/>
        <v>709305.02</v>
      </c>
      <c r="AD553" s="8">
        <f t="shared" si="561"/>
        <v>720373.92079999996</v>
      </c>
      <c r="AE553" s="8">
        <f t="shared" si="561"/>
        <v>11068.900799999996</v>
      </c>
      <c r="AF553" s="3">
        <f t="shared" si="532"/>
        <v>720373.92079999996</v>
      </c>
    </row>
    <row r="554" spans="1:32" outlineLevel="2">
      <c r="A554" s="11">
        <v>34000</v>
      </c>
      <c r="B554" s="11">
        <v>12000</v>
      </c>
      <c r="C554" s="11" t="s">
        <v>145</v>
      </c>
      <c r="D554" s="7">
        <v>123089.27</v>
      </c>
      <c r="E554" s="7">
        <v>38013</v>
      </c>
      <c r="F554" s="7">
        <f t="shared" ref="F554:F560" si="562">D554-E554</f>
        <v>85076.27</v>
      </c>
      <c r="G554" s="7">
        <v>-85076.27</v>
      </c>
      <c r="H554" s="7">
        <f t="shared" ref="H554:H560" si="563">D554+G554</f>
        <v>38013</v>
      </c>
      <c r="I554" s="16">
        <v>14677.32</v>
      </c>
      <c r="J554" s="16">
        <f t="shared" si="495"/>
        <v>23335.68</v>
      </c>
      <c r="K554" s="16">
        <v>-23335.68</v>
      </c>
      <c r="L554" s="1">
        <f t="shared" ref="L554:L590" si="564">H554+K554</f>
        <v>14677.32</v>
      </c>
      <c r="M554" s="7">
        <v>0</v>
      </c>
      <c r="N554" s="1">
        <f t="shared" si="544"/>
        <v>14677.32</v>
      </c>
      <c r="O554" s="1">
        <v>14677.32</v>
      </c>
      <c r="P554" s="1">
        <f t="shared" ref="P554:P566" si="565">O554-N554</f>
        <v>0</v>
      </c>
      <c r="Q554" s="1">
        <f t="shared" ref="Q554:Q590" si="566">N554+P554</f>
        <v>14677.32</v>
      </c>
      <c r="R554" s="1">
        <v>14677.32</v>
      </c>
      <c r="S554" s="1">
        <f t="shared" ref="S554:S566" si="567">R554-Q554</f>
        <v>0</v>
      </c>
      <c r="T554" s="1">
        <f t="shared" ref="T554:U590" si="568">Q554+S554</f>
        <v>14677.32</v>
      </c>
      <c r="U554" s="1">
        <v>14677.32</v>
      </c>
      <c r="V554" s="1">
        <f t="shared" si="507"/>
        <v>0</v>
      </c>
      <c r="W554" s="1">
        <f t="shared" ref="W554:W590" si="569">T554+V554</f>
        <v>14677.32</v>
      </c>
      <c r="X554" s="1">
        <v>15879.23</v>
      </c>
      <c r="Y554" s="41">
        <f t="shared" si="496"/>
        <v>1201.9099999999999</v>
      </c>
      <c r="Z554" s="1">
        <f t="shared" ref="Z554:Z590" si="570">W554+Y554</f>
        <v>15879.23</v>
      </c>
      <c r="AA554" s="1">
        <v>14972.45</v>
      </c>
      <c r="AB554" s="1">
        <f>AA554-Z554</f>
        <v>-906.77999999999884</v>
      </c>
      <c r="AC554" s="1">
        <f t="shared" ref="AC554:AC555" si="571">Z554+AB554</f>
        <v>14972.45</v>
      </c>
      <c r="AD554" s="41">
        <v>15197.15</v>
      </c>
      <c r="AE554" s="1">
        <f t="shared" ref="AE554:AE593" si="572">AD554-AC554</f>
        <v>224.69999999999891</v>
      </c>
      <c r="AF554" s="1">
        <f t="shared" si="532"/>
        <v>15197.15</v>
      </c>
    </row>
    <row r="555" spans="1:32" outlineLevel="2">
      <c r="A555" s="11">
        <v>34000</v>
      </c>
      <c r="B555" s="11">
        <v>12003</v>
      </c>
      <c r="C555" s="11" t="s">
        <v>146</v>
      </c>
      <c r="D555" s="7">
        <v>0</v>
      </c>
      <c r="E555" s="7">
        <v>37955.18</v>
      </c>
      <c r="F555" s="7">
        <f t="shared" si="562"/>
        <v>-37955.18</v>
      </c>
      <c r="G555" s="7">
        <v>37955.18</v>
      </c>
      <c r="H555" s="7">
        <f t="shared" si="563"/>
        <v>37955.18</v>
      </c>
      <c r="I555" s="16">
        <v>26249.86</v>
      </c>
      <c r="J555" s="16">
        <f t="shared" si="495"/>
        <v>11705.32</v>
      </c>
      <c r="K555" s="16">
        <v>-11705.32</v>
      </c>
      <c r="L555" s="1">
        <f t="shared" si="564"/>
        <v>26249.86</v>
      </c>
      <c r="M555" s="7">
        <f>19769.68-L555</f>
        <v>-6480.18</v>
      </c>
      <c r="N555" s="1">
        <f t="shared" si="544"/>
        <v>19769.68</v>
      </c>
      <c r="O555" s="1">
        <v>19769.68</v>
      </c>
      <c r="P555" s="1">
        <f t="shared" si="565"/>
        <v>0</v>
      </c>
      <c r="Q555" s="1">
        <f t="shared" si="566"/>
        <v>19769.68</v>
      </c>
      <c r="R555" s="1">
        <v>29654.52</v>
      </c>
      <c r="S555" s="1">
        <f t="shared" si="567"/>
        <v>9884.84</v>
      </c>
      <c r="T555" s="1">
        <f t="shared" si="568"/>
        <v>29654.52</v>
      </c>
      <c r="U555" s="1">
        <v>29654.52</v>
      </c>
      <c r="V555" s="1">
        <f t="shared" si="507"/>
        <v>0</v>
      </c>
      <c r="W555" s="1">
        <f t="shared" si="569"/>
        <v>29654.52</v>
      </c>
      <c r="X555" s="1">
        <v>31699.96</v>
      </c>
      <c r="Y555" s="41">
        <f t="shared" si="496"/>
        <v>2045.4399999999987</v>
      </c>
      <c r="Z555" s="1">
        <f t="shared" si="570"/>
        <v>31699.96</v>
      </c>
      <c r="AA555" s="1">
        <v>20167.189999999999</v>
      </c>
      <c r="AB555" s="1">
        <f t="shared" ref="AB555:AB599" si="573">AA555-Z555</f>
        <v>-11532.77</v>
      </c>
      <c r="AC555" s="1">
        <f t="shared" si="571"/>
        <v>20167.189999999999</v>
      </c>
      <c r="AD555" s="41">
        <v>10235.01</v>
      </c>
      <c r="AE555" s="1">
        <f t="shared" si="572"/>
        <v>-9932.1799999999985</v>
      </c>
      <c r="AF555" s="1">
        <f t="shared" si="532"/>
        <v>10235.01</v>
      </c>
    </row>
    <row r="556" spans="1:32" outlineLevel="2">
      <c r="A556" s="11">
        <v>34000</v>
      </c>
      <c r="B556" s="11">
        <v>12004</v>
      </c>
      <c r="C556" s="11" t="s">
        <v>147</v>
      </c>
      <c r="D556" s="7">
        <v>0</v>
      </c>
      <c r="E556" s="7">
        <v>30664.74</v>
      </c>
      <c r="F556" s="7">
        <f t="shared" si="562"/>
        <v>-30664.74</v>
      </c>
      <c r="G556" s="7">
        <v>30664.74</v>
      </c>
      <c r="H556" s="7">
        <f t="shared" si="563"/>
        <v>30664.74</v>
      </c>
      <c r="I556" s="16">
        <v>25135.74</v>
      </c>
      <c r="J556" s="16">
        <f t="shared" si="495"/>
        <v>5529</v>
      </c>
      <c r="K556" s="16">
        <v>-5529</v>
      </c>
      <c r="L556" s="1">
        <f t="shared" si="564"/>
        <v>25135.74</v>
      </c>
      <c r="M556" s="7">
        <v>0</v>
      </c>
      <c r="N556" s="1">
        <f t="shared" si="544"/>
        <v>25135.74</v>
      </c>
      <c r="O556" s="1">
        <v>16757.16</v>
      </c>
      <c r="P556" s="1">
        <f t="shared" si="565"/>
        <v>-8378.5800000000017</v>
      </c>
      <c r="Q556" s="1">
        <f t="shared" si="566"/>
        <v>16757.16</v>
      </c>
      <c r="R556" s="1">
        <v>8378.58</v>
      </c>
      <c r="S556" s="1">
        <f t="shared" si="567"/>
        <v>-8378.58</v>
      </c>
      <c r="T556" s="1">
        <f t="shared" si="568"/>
        <v>8378.58</v>
      </c>
      <c r="U556" s="1">
        <v>8378.58</v>
      </c>
      <c r="V556" s="1">
        <f t="shared" si="507"/>
        <v>0</v>
      </c>
      <c r="W556" s="1">
        <f t="shared" si="569"/>
        <v>8378.58</v>
      </c>
      <c r="X556" s="1">
        <v>10051.59</v>
      </c>
      <c r="Y556" s="41">
        <f t="shared" si="496"/>
        <v>1673.0100000000002</v>
      </c>
      <c r="Z556" s="1">
        <f t="shared" si="570"/>
        <v>10051.59</v>
      </c>
      <c r="AA556" s="1">
        <v>17094.07</v>
      </c>
      <c r="AB556" s="1">
        <f t="shared" si="573"/>
        <v>7042.48</v>
      </c>
      <c r="AC556" s="1">
        <f t="shared" ref="AC556:AC592" si="574">Z556+AB556</f>
        <v>17094.07</v>
      </c>
      <c r="AD556" s="41">
        <v>17350.78</v>
      </c>
      <c r="AE556" s="1">
        <f t="shared" si="572"/>
        <v>256.70999999999913</v>
      </c>
      <c r="AF556" s="1">
        <f t="shared" si="532"/>
        <v>17350.78</v>
      </c>
    </row>
    <row r="557" spans="1:32" outlineLevel="2">
      <c r="A557" s="11">
        <v>34000</v>
      </c>
      <c r="B557" s="11">
        <v>12005</v>
      </c>
      <c r="C557" s="42" t="s">
        <v>684</v>
      </c>
      <c r="D557" s="7">
        <v>0</v>
      </c>
      <c r="E557" s="7">
        <v>9095.5400000000009</v>
      </c>
      <c r="F557" s="7">
        <f t="shared" si="562"/>
        <v>-9095.5400000000009</v>
      </c>
      <c r="G557" s="7">
        <v>9095.5400000000009</v>
      </c>
      <c r="H557" s="7">
        <f t="shared" si="563"/>
        <v>9095.5400000000009</v>
      </c>
      <c r="I557" s="16">
        <v>16757.16</v>
      </c>
      <c r="J557" s="16">
        <f t="shared" si="495"/>
        <v>-7661.619999999999</v>
      </c>
      <c r="K557" s="16">
        <v>7661.62</v>
      </c>
      <c r="L557" s="1">
        <f t="shared" si="564"/>
        <v>16757.16</v>
      </c>
      <c r="M557" s="7">
        <f>36765.74-L557</f>
        <v>20008.579999999998</v>
      </c>
      <c r="N557" s="1">
        <f t="shared" si="544"/>
        <v>36765.74</v>
      </c>
      <c r="O557" s="1">
        <v>15357.16</v>
      </c>
      <c r="P557" s="1">
        <f t="shared" si="565"/>
        <v>-21408.579999999998</v>
      </c>
      <c r="Q557" s="1">
        <f t="shared" si="566"/>
        <v>15357.16</v>
      </c>
      <c r="R557" s="1">
        <v>38392.9</v>
      </c>
      <c r="S557" s="1">
        <f t="shared" si="567"/>
        <v>23035.74</v>
      </c>
      <c r="T557" s="1">
        <f t="shared" si="568"/>
        <v>38392.9</v>
      </c>
      <c r="U557" s="1">
        <v>38392.9</v>
      </c>
      <c r="V557" s="1">
        <f t="shared" si="507"/>
        <v>0</v>
      </c>
      <c r="W557" s="1">
        <f t="shared" si="569"/>
        <v>38392.9</v>
      </c>
      <c r="X557" s="1">
        <v>39591.379999999997</v>
      </c>
      <c r="Y557" s="41">
        <f t="shared" si="496"/>
        <v>1198.4799999999959</v>
      </c>
      <c r="Z557" s="1">
        <f t="shared" si="570"/>
        <v>39591.379999999997</v>
      </c>
      <c r="AA557" s="1">
        <v>23498.91</v>
      </c>
      <c r="AB557" s="1">
        <f t="shared" si="573"/>
        <v>-16092.469999999998</v>
      </c>
      <c r="AC557" s="1">
        <f t="shared" si="574"/>
        <v>23498.91</v>
      </c>
      <c r="AD557" s="41">
        <v>31801.96</v>
      </c>
      <c r="AE557" s="1">
        <f t="shared" si="572"/>
        <v>8303.0499999999993</v>
      </c>
      <c r="AF557" s="1">
        <f t="shared" si="532"/>
        <v>31801.96</v>
      </c>
    </row>
    <row r="558" spans="1:32" outlineLevel="2">
      <c r="A558" s="11">
        <v>34000</v>
      </c>
      <c r="B558" s="11">
        <v>12006</v>
      </c>
      <c r="C558" s="11" t="s">
        <v>81</v>
      </c>
      <c r="D558" s="7">
        <v>0</v>
      </c>
      <c r="E558" s="7">
        <v>8851.65</v>
      </c>
      <c r="F558" s="7">
        <f t="shared" si="562"/>
        <v>-8851.65</v>
      </c>
      <c r="G558" s="7">
        <v>8851.65</v>
      </c>
      <c r="H558" s="7">
        <f t="shared" si="563"/>
        <v>8851.65</v>
      </c>
      <c r="I558" s="16">
        <v>10341.24</v>
      </c>
      <c r="J558" s="16">
        <f t="shared" si="495"/>
        <v>-1489.5900000000001</v>
      </c>
      <c r="K558" s="16">
        <v>1489.59</v>
      </c>
      <c r="L558" s="1">
        <f t="shared" si="564"/>
        <v>10341.24</v>
      </c>
      <c r="M558" s="7">
        <f>11710.98-L558</f>
        <v>1369.7399999999998</v>
      </c>
      <c r="N558" s="1">
        <f t="shared" si="544"/>
        <v>11710.98</v>
      </c>
      <c r="O558" s="1">
        <v>11260.49</v>
      </c>
      <c r="P558" s="1">
        <f t="shared" si="565"/>
        <v>-450.48999999999978</v>
      </c>
      <c r="Q558" s="1">
        <f t="shared" si="566"/>
        <v>11260.49</v>
      </c>
      <c r="R558" s="1">
        <v>13466.53</v>
      </c>
      <c r="S558" s="1">
        <f t="shared" si="567"/>
        <v>2206.0400000000009</v>
      </c>
      <c r="T558" s="1">
        <f t="shared" si="568"/>
        <v>13466.53</v>
      </c>
      <c r="U558" s="1">
        <v>14081.95</v>
      </c>
      <c r="V558" s="1">
        <f t="shared" si="507"/>
        <v>615.42000000000007</v>
      </c>
      <c r="W558" s="1">
        <f t="shared" si="569"/>
        <v>14081.95</v>
      </c>
      <c r="X558" s="1">
        <v>14663.14</v>
      </c>
      <c r="Y558" s="41">
        <f t="shared" si="496"/>
        <v>581.18999999999869</v>
      </c>
      <c r="Z558" s="1">
        <f t="shared" si="570"/>
        <v>14663.14</v>
      </c>
      <c r="AA558" s="1">
        <v>10828.34</v>
      </c>
      <c r="AB558" s="1">
        <f t="shared" si="573"/>
        <v>-3834.7999999999993</v>
      </c>
      <c r="AC558" s="1">
        <f t="shared" si="574"/>
        <v>10828.34</v>
      </c>
      <c r="AD558" s="41">
        <v>11400.98</v>
      </c>
      <c r="AE558" s="1">
        <f t="shared" si="572"/>
        <v>572.63999999999942</v>
      </c>
      <c r="AF558" s="1">
        <f t="shared" si="532"/>
        <v>11400.98</v>
      </c>
    </row>
    <row r="559" spans="1:32" outlineLevel="2">
      <c r="A559" s="11">
        <v>34000</v>
      </c>
      <c r="B559" s="11">
        <v>12100</v>
      </c>
      <c r="C559" s="11" t="s">
        <v>148</v>
      </c>
      <c r="D559" s="7">
        <v>107504.9</v>
      </c>
      <c r="E559" s="7">
        <v>47079.79</v>
      </c>
      <c r="F559" s="7">
        <f t="shared" si="562"/>
        <v>60425.109999999993</v>
      </c>
      <c r="G559" s="7">
        <v>-60425.11</v>
      </c>
      <c r="H559" s="7">
        <f t="shared" si="563"/>
        <v>47079.789999999994</v>
      </c>
      <c r="I559" s="16">
        <v>45966.52</v>
      </c>
      <c r="J559" s="16">
        <f t="shared" si="495"/>
        <v>1113.2699999999968</v>
      </c>
      <c r="K559" s="16">
        <v>-1113.27</v>
      </c>
      <c r="L559" s="1">
        <f t="shared" si="564"/>
        <v>45966.52</v>
      </c>
      <c r="M559" s="7">
        <f>53687.48-L559</f>
        <v>7720.9600000000064</v>
      </c>
      <c r="N559" s="1">
        <f t="shared" si="544"/>
        <v>53687.48</v>
      </c>
      <c r="O559" s="1">
        <v>37237.06</v>
      </c>
      <c r="P559" s="1">
        <f t="shared" si="565"/>
        <v>-16450.420000000006</v>
      </c>
      <c r="Q559" s="1">
        <f t="shared" si="566"/>
        <v>37237.06</v>
      </c>
      <c r="R559" s="1">
        <f>61346.46-11300.24</f>
        <v>50046.22</v>
      </c>
      <c r="S559" s="1">
        <f t="shared" si="567"/>
        <v>12809.160000000003</v>
      </c>
      <c r="T559" s="1">
        <f t="shared" si="568"/>
        <v>50046.22</v>
      </c>
      <c r="U559" s="1">
        <v>50046.22</v>
      </c>
      <c r="V559" s="1">
        <f t="shared" si="507"/>
        <v>0</v>
      </c>
      <c r="W559" s="1">
        <f t="shared" si="569"/>
        <v>50046.22</v>
      </c>
      <c r="X559" s="1">
        <v>50546.66</v>
      </c>
      <c r="Y559" s="41">
        <f t="shared" si="496"/>
        <v>500.44000000000233</v>
      </c>
      <c r="Z559" s="1">
        <f t="shared" si="570"/>
        <v>50546.66</v>
      </c>
      <c r="AA559" s="1">
        <v>42020.81</v>
      </c>
      <c r="AB559" s="1">
        <f t="shared" si="573"/>
        <v>-8525.8500000000058</v>
      </c>
      <c r="AC559" s="1">
        <f t="shared" si="574"/>
        <v>42020.81</v>
      </c>
      <c r="AD559" s="41">
        <v>41024.42</v>
      </c>
      <c r="AE559" s="1">
        <f t="shared" si="572"/>
        <v>-996.38999999999942</v>
      </c>
      <c r="AF559" s="1">
        <f t="shared" si="532"/>
        <v>41024.42</v>
      </c>
    </row>
    <row r="560" spans="1:32" outlineLevel="2">
      <c r="A560" s="11">
        <v>34000</v>
      </c>
      <c r="B560" s="11">
        <v>12101</v>
      </c>
      <c r="C560" s="11" t="s">
        <v>149</v>
      </c>
      <c r="D560" s="7">
        <v>0</v>
      </c>
      <c r="E560" s="7">
        <v>60747.62</v>
      </c>
      <c r="F560" s="7">
        <f t="shared" si="562"/>
        <v>-60747.62</v>
      </c>
      <c r="G560" s="7">
        <v>60747.62</v>
      </c>
      <c r="H560" s="7">
        <f t="shared" si="563"/>
        <v>60747.62</v>
      </c>
      <c r="I560" s="16">
        <v>62652.45</v>
      </c>
      <c r="J560" s="16">
        <f t="shared" si="495"/>
        <v>-1904.8299999999945</v>
      </c>
      <c r="K560" s="16">
        <v>1904.83</v>
      </c>
      <c r="L560" s="1">
        <f t="shared" si="564"/>
        <v>62652.450000000004</v>
      </c>
      <c r="M560" s="7">
        <f>72860.06-L560</f>
        <v>10207.609999999993</v>
      </c>
      <c r="N560" s="1">
        <f t="shared" si="544"/>
        <v>72860.06</v>
      </c>
      <c r="O560" s="1">
        <v>51390.92</v>
      </c>
      <c r="P560" s="1">
        <f t="shared" si="565"/>
        <v>-21469.14</v>
      </c>
      <c r="Q560" s="1">
        <f t="shared" si="566"/>
        <v>51390.92</v>
      </c>
      <c r="R560" s="1">
        <f>58114+11300.24</f>
        <v>69414.240000000005</v>
      </c>
      <c r="S560" s="1">
        <f t="shared" si="567"/>
        <v>18023.320000000007</v>
      </c>
      <c r="T560" s="1">
        <f t="shared" si="568"/>
        <v>69414.240000000005</v>
      </c>
      <c r="U560" s="1">
        <v>68396.72</v>
      </c>
      <c r="V560" s="1">
        <f t="shared" si="507"/>
        <v>-1017.5200000000041</v>
      </c>
      <c r="W560" s="1">
        <f t="shared" si="569"/>
        <v>68396.72</v>
      </c>
      <c r="X560" s="1">
        <v>69080.67</v>
      </c>
      <c r="Y560" s="41">
        <f t="shared" si="496"/>
        <v>683.94999999999709</v>
      </c>
      <c r="Z560" s="1">
        <f t="shared" si="570"/>
        <v>69080.67</v>
      </c>
      <c r="AA560" s="1">
        <v>57191.76</v>
      </c>
      <c r="AB560" s="1">
        <f t="shared" si="573"/>
        <v>-11888.909999999996</v>
      </c>
      <c r="AC560" s="1">
        <f t="shared" si="574"/>
        <v>57191.76</v>
      </c>
      <c r="AD560" s="41">
        <v>56529.49</v>
      </c>
      <c r="AE560" s="1">
        <f t="shared" si="572"/>
        <v>-662.27000000000407</v>
      </c>
      <c r="AF560" s="1">
        <f t="shared" si="532"/>
        <v>56529.49</v>
      </c>
    </row>
    <row r="561" spans="1:32" outlineLevel="2">
      <c r="A561" s="11">
        <v>34000</v>
      </c>
      <c r="B561" s="11">
        <v>13000</v>
      </c>
      <c r="C561" s="11" t="s">
        <v>436</v>
      </c>
      <c r="D561" s="7">
        <v>110565.33</v>
      </c>
      <c r="E561" s="7">
        <v>111894</v>
      </c>
      <c r="F561" s="7">
        <f t="shared" si="555"/>
        <v>-1328.6699999999983</v>
      </c>
      <c r="G561" s="7">
        <v>1328.67</v>
      </c>
      <c r="H561" s="7">
        <f t="shared" si="514"/>
        <v>111894</v>
      </c>
      <c r="I561" s="16">
        <v>120180.73</v>
      </c>
      <c r="J561" s="16">
        <f t="shared" si="495"/>
        <v>-8286.7299999999959</v>
      </c>
      <c r="K561" s="16">
        <v>8286.73</v>
      </c>
      <c r="L561" s="1">
        <f t="shared" si="564"/>
        <v>120180.73</v>
      </c>
      <c r="M561" s="7">
        <f>140766.28-L561</f>
        <v>20585.550000000003</v>
      </c>
      <c r="N561" s="1">
        <f t="shared" si="544"/>
        <v>140766.28</v>
      </c>
      <c r="O561" s="1">
        <v>132044.72</v>
      </c>
      <c r="P561" s="1">
        <f t="shared" si="565"/>
        <v>-8721.5599999999977</v>
      </c>
      <c r="Q561" s="1">
        <f t="shared" si="566"/>
        <v>132044.72</v>
      </c>
      <c r="R561" s="1">
        <v>106797.39</v>
      </c>
      <c r="S561" s="1">
        <f t="shared" si="567"/>
        <v>-25247.33</v>
      </c>
      <c r="T561" s="1">
        <f t="shared" si="568"/>
        <v>106797.39</v>
      </c>
      <c r="U561" s="1">
        <v>107989.27</v>
      </c>
      <c r="V561" s="1">
        <f t="shared" si="507"/>
        <v>1191.8800000000047</v>
      </c>
      <c r="W561" s="1">
        <f t="shared" si="569"/>
        <v>107989.27</v>
      </c>
      <c r="X561" s="1">
        <v>122347.47</v>
      </c>
      <c r="Y561" s="41">
        <f t="shared" si="496"/>
        <v>14358.199999999997</v>
      </c>
      <c r="Z561" s="1">
        <f t="shared" si="570"/>
        <v>122347.47</v>
      </c>
      <c r="AA561" s="1">
        <v>110706.57</v>
      </c>
      <c r="AB561" s="1">
        <f t="shared" si="573"/>
        <v>-11640.899999999994</v>
      </c>
      <c r="AC561" s="1">
        <f t="shared" si="574"/>
        <v>110706.57</v>
      </c>
      <c r="AD561" s="41">
        <v>105300.31</v>
      </c>
      <c r="AE561" s="1">
        <f t="shared" si="572"/>
        <v>-5406.2600000000093</v>
      </c>
      <c r="AF561" s="1">
        <f t="shared" si="532"/>
        <v>105300.31</v>
      </c>
    </row>
    <row r="562" spans="1:32" outlineLevel="2">
      <c r="A562" s="11">
        <v>34000</v>
      </c>
      <c r="B562" s="11">
        <v>13002</v>
      </c>
      <c r="C562" s="11" t="s">
        <v>160</v>
      </c>
      <c r="D562" s="7">
        <v>0</v>
      </c>
      <c r="E562" s="7">
        <v>94486.53</v>
      </c>
      <c r="F562" s="7">
        <f t="shared" si="555"/>
        <v>-94486.53</v>
      </c>
      <c r="G562" s="7">
        <v>94486.53</v>
      </c>
      <c r="H562" s="7">
        <f t="shared" si="514"/>
        <v>94486.53</v>
      </c>
      <c r="I562" s="16">
        <v>136088.82</v>
      </c>
      <c r="J562" s="16">
        <f t="shared" si="495"/>
        <v>-41602.290000000008</v>
      </c>
      <c r="K562" s="16">
        <v>41602.29</v>
      </c>
      <c r="L562" s="1">
        <f t="shared" si="564"/>
        <v>136088.82</v>
      </c>
      <c r="M562" s="7">
        <f>167516.86-L562</f>
        <v>31428.039999999979</v>
      </c>
      <c r="N562" s="1">
        <f t="shared" si="544"/>
        <v>167516.85999999999</v>
      </c>
      <c r="O562" s="1">
        <v>158014.78</v>
      </c>
      <c r="P562" s="1">
        <f t="shared" si="565"/>
        <v>-9502.0799999999872</v>
      </c>
      <c r="Q562" s="1">
        <f t="shared" si="566"/>
        <v>158014.78</v>
      </c>
      <c r="R562" s="1">
        <v>124204.08</v>
      </c>
      <c r="S562" s="1">
        <f t="shared" si="567"/>
        <v>-33810.699999999997</v>
      </c>
      <c r="T562" s="1">
        <f t="shared" si="568"/>
        <v>124204.08</v>
      </c>
      <c r="U562" s="1">
        <v>124204.08</v>
      </c>
      <c r="V562" s="1">
        <f t="shared" ref="V562:V590" si="575">U562-T562</f>
        <v>0</v>
      </c>
      <c r="W562" s="1">
        <f t="shared" si="569"/>
        <v>124204.08</v>
      </c>
      <c r="X562" s="1">
        <v>125446.08</v>
      </c>
      <c r="Y562" s="41">
        <f t="shared" ref="Y562:Y628" si="576">X562-W562</f>
        <v>1242</v>
      </c>
      <c r="Z562" s="1">
        <f t="shared" si="570"/>
        <v>125446.08</v>
      </c>
      <c r="AA562" s="1">
        <v>126182.57</v>
      </c>
      <c r="AB562" s="1">
        <f t="shared" si="573"/>
        <v>736.49000000000524</v>
      </c>
      <c r="AC562" s="1">
        <f t="shared" si="574"/>
        <v>126182.57</v>
      </c>
      <c r="AD562" s="41">
        <v>118656.47</v>
      </c>
      <c r="AE562" s="1">
        <f t="shared" si="572"/>
        <v>-7526.1000000000058</v>
      </c>
      <c r="AF562" s="1">
        <f t="shared" si="532"/>
        <v>118656.47</v>
      </c>
    </row>
    <row r="563" spans="1:32" outlineLevel="2">
      <c r="A563" s="11">
        <v>34000</v>
      </c>
      <c r="B563" s="11">
        <v>13100</v>
      </c>
      <c r="C563" s="11" t="s">
        <v>437</v>
      </c>
      <c r="D563" s="7">
        <v>93792.76</v>
      </c>
      <c r="E563" s="7">
        <v>100573.84</v>
      </c>
      <c r="F563" s="7">
        <f t="shared" si="555"/>
        <v>-6781.0800000000017</v>
      </c>
      <c r="G563" s="7">
        <v>6781.08</v>
      </c>
      <c r="H563" s="7">
        <f t="shared" si="514"/>
        <v>100573.84</v>
      </c>
      <c r="I563" s="16">
        <v>33371.040000000001</v>
      </c>
      <c r="J563" s="16">
        <f t="shared" si="495"/>
        <v>67202.799999999988</v>
      </c>
      <c r="K563" s="16">
        <v>-67202.8</v>
      </c>
      <c r="L563" s="1">
        <f t="shared" si="564"/>
        <v>33371.039999999994</v>
      </c>
      <c r="M563" s="7">
        <v>-33371.040000000001</v>
      </c>
      <c r="N563" s="1">
        <f t="shared" si="544"/>
        <v>0</v>
      </c>
      <c r="O563" s="1">
        <v>16757.16</v>
      </c>
      <c r="P563" s="1">
        <f t="shared" si="565"/>
        <v>16757.16</v>
      </c>
      <c r="Q563" s="1">
        <f t="shared" si="566"/>
        <v>16757.16</v>
      </c>
      <c r="R563" s="1">
        <v>7048.65</v>
      </c>
      <c r="S563" s="1">
        <f t="shared" si="567"/>
        <v>-9708.51</v>
      </c>
      <c r="T563" s="1">
        <f t="shared" si="568"/>
        <v>7048.65</v>
      </c>
      <c r="U563" s="1">
        <v>8244.32</v>
      </c>
      <c r="V563" s="1">
        <f t="shared" si="575"/>
        <v>1195.67</v>
      </c>
      <c r="W563" s="1">
        <f t="shared" si="569"/>
        <v>8244.32</v>
      </c>
      <c r="X563" s="1">
        <v>21036.86</v>
      </c>
      <c r="Y563" s="41">
        <f t="shared" si="576"/>
        <v>12792.54</v>
      </c>
      <c r="Z563" s="1">
        <f t="shared" si="570"/>
        <v>21036.86</v>
      </c>
      <c r="AA563" s="1">
        <v>19706.91</v>
      </c>
      <c r="AB563" s="1">
        <f t="shared" si="573"/>
        <v>-1329.9500000000007</v>
      </c>
      <c r="AC563" s="1">
        <f t="shared" si="574"/>
        <v>19706.91</v>
      </c>
      <c r="AD563" s="41">
        <v>19989.95</v>
      </c>
      <c r="AE563" s="1">
        <f t="shared" si="572"/>
        <v>283.04000000000087</v>
      </c>
      <c r="AF563" s="1">
        <f t="shared" si="532"/>
        <v>19989.95</v>
      </c>
    </row>
    <row r="564" spans="1:32" outlineLevel="2">
      <c r="A564" s="11">
        <v>34000</v>
      </c>
      <c r="B564" s="11">
        <v>13101</v>
      </c>
      <c r="C564" s="11" t="s">
        <v>438</v>
      </c>
      <c r="D564" s="7">
        <v>81172.17</v>
      </c>
      <c r="E564" s="7">
        <v>84369.87</v>
      </c>
      <c r="F564" s="7">
        <f t="shared" si="555"/>
        <v>-3197.6999999999971</v>
      </c>
      <c r="G564" s="7">
        <v>3197.7</v>
      </c>
      <c r="H564" s="7">
        <f t="shared" si="514"/>
        <v>84369.87</v>
      </c>
      <c r="I564" s="16">
        <v>37931.07</v>
      </c>
      <c r="J564" s="16">
        <f t="shared" si="495"/>
        <v>46438.799999999996</v>
      </c>
      <c r="K564" s="16">
        <v>-46438.8</v>
      </c>
      <c r="L564" s="1">
        <f t="shared" si="564"/>
        <v>37931.069999999992</v>
      </c>
      <c r="M564" s="7">
        <v>-37931.07</v>
      </c>
      <c r="N564" s="1">
        <f t="shared" si="544"/>
        <v>0</v>
      </c>
      <c r="O564" s="1">
        <v>19542.04</v>
      </c>
      <c r="P564" s="1">
        <f t="shared" si="565"/>
        <v>19542.04</v>
      </c>
      <c r="Q564" s="1">
        <f t="shared" si="566"/>
        <v>19542.04</v>
      </c>
      <c r="R564" s="1">
        <v>8795.44</v>
      </c>
      <c r="S564" s="1">
        <f t="shared" si="567"/>
        <v>-10746.6</v>
      </c>
      <c r="T564" s="1">
        <f t="shared" si="568"/>
        <v>8795.44</v>
      </c>
      <c r="U564" s="1">
        <v>9605.5400000000009</v>
      </c>
      <c r="V564" s="1">
        <f t="shared" si="575"/>
        <v>810.10000000000036</v>
      </c>
      <c r="W564" s="1">
        <f t="shared" si="569"/>
        <v>9605.5400000000009</v>
      </c>
      <c r="X564" s="1">
        <v>24915.38</v>
      </c>
      <c r="Y564" s="41">
        <f t="shared" si="576"/>
        <v>15309.84</v>
      </c>
      <c r="Z564" s="1">
        <f t="shared" si="570"/>
        <v>24915.38</v>
      </c>
      <c r="AA564" s="1">
        <v>22698.01</v>
      </c>
      <c r="AB564" s="1">
        <f t="shared" si="573"/>
        <v>-2217.3700000000026</v>
      </c>
      <c r="AC564" s="1">
        <f t="shared" si="574"/>
        <v>22698.01</v>
      </c>
      <c r="AD564" s="41">
        <v>23038.49</v>
      </c>
      <c r="AE564" s="1">
        <f t="shared" si="572"/>
        <v>340.4800000000032</v>
      </c>
      <c r="AF564" s="1">
        <f t="shared" si="532"/>
        <v>23038.49</v>
      </c>
    </row>
    <row r="565" spans="1:32" outlineLevel="2">
      <c r="A565" s="11">
        <v>34000</v>
      </c>
      <c r="B565" s="11">
        <v>15000</v>
      </c>
      <c r="C565" s="39" t="s">
        <v>387</v>
      </c>
      <c r="D565" s="7"/>
      <c r="E565" s="7"/>
      <c r="F565" s="7"/>
      <c r="G565" s="7"/>
      <c r="H565" s="7"/>
      <c r="I565" s="16"/>
      <c r="J565" s="16"/>
      <c r="K565" s="16"/>
      <c r="L565" s="1"/>
      <c r="N565" s="1"/>
      <c r="O565" s="1"/>
      <c r="T565" s="1"/>
      <c r="V565" s="1"/>
      <c r="W565" s="1">
        <v>0</v>
      </c>
      <c r="X565" s="1">
        <v>1200</v>
      </c>
      <c r="Y565" s="41">
        <f t="shared" ref="Y565" si="577">X565-W565</f>
        <v>1200</v>
      </c>
      <c r="Z565" s="1">
        <f t="shared" ref="Z565" si="578">W565+Y565</f>
        <v>1200</v>
      </c>
      <c r="AA565" s="1">
        <v>700</v>
      </c>
      <c r="AB565" s="1">
        <f t="shared" si="573"/>
        <v>-500</v>
      </c>
      <c r="AC565" s="1">
        <f t="shared" si="574"/>
        <v>700</v>
      </c>
      <c r="AD565" s="41">
        <v>700</v>
      </c>
      <c r="AE565" s="1">
        <f t="shared" si="572"/>
        <v>0</v>
      </c>
      <c r="AF565" s="1">
        <f t="shared" si="532"/>
        <v>700</v>
      </c>
    </row>
    <row r="566" spans="1:32" outlineLevel="2">
      <c r="A566" s="11">
        <v>34000</v>
      </c>
      <c r="B566" s="19">
        <v>15100</v>
      </c>
      <c r="C566" s="19" t="s">
        <v>439</v>
      </c>
      <c r="D566" s="20">
        <v>8300</v>
      </c>
      <c r="E566" s="20">
        <v>5000</v>
      </c>
      <c r="F566" s="20">
        <f t="shared" si="555"/>
        <v>3300</v>
      </c>
      <c r="G566" s="20">
        <v>-3300</v>
      </c>
      <c r="H566" s="20">
        <f t="shared" si="514"/>
        <v>5000</v>
      </c>
      <c r="I566" s="21">
        <v>5000</v>
      </c>
      <c r="J566" s="21">
        <f t="shared" si="495"/>
        <v>0</v>
      </c>
      <c r="K566" s="21">
        <v>0</v>
      </c>
      <c r="L566" s="21">
        <f t="shared" si="564"/>
        <v>5000</v>
      </c>
      <c r="M566" s="7">
        <v>-3000</v>
      </c>
      <c r="N566" s="1">
        <f t="shared" si="544"/>
        <v>2000</v>
      </c>
      <c r="O566" s="1">
        <v>2000</v>
      </c>
      <c r="P566" s="1">
        <f t="shared" si="565"/>
        <v>0</v>
      </c>
      <c r="Q566" s="1">
        <f t="shared" si="566"/>
        <v>2000</v>
      </c>
      <c r="R566" s="1">
        <v>2000</v>
      </c>
      <c r="S566" s="1">
        <f t="shared" si="567"/>
        <v>0</v>
      </c>
      <c r="T566" s="1">
        <f t="shared" si="568"/>
        <v>2000</v>
      </c>
      <c r="U566" s="1">
        <v>2000</v>
      </c>
      <c r="V566" s="1">
        <f t="shared" si="575"/>
        <v>0</v>
      </c>
      <c r="W566" s="1">
        <f t="shared" si="569"/>
        <v>2000</v>
      </c>
      <c r="X566" s="1">
        <v>2000</v>
      </c>
      <c r="Y566" s="41">
        <f t="shared" si="576"/>
        <v>0</v>
      </c>
      <c r="Z566" s="1">
        <f t="shared" si="570"/>
        <v>2000</v>
      </c>
      <c r="AA566" s="1">
        <v>2000</v>
      </c>
      <c r="AB566" s="1">
        <f t="shared" si="573"/>
        <v>0</v>
      </c>
      <c r="AC566" s="1">
        <f t="shared" si="574"/>
        <v>2000</v>
      </c>
      <c r="AD566" s="41">
        <v>2000</v>
      </c>
      <c r="AE566" s="1">
        <f t="shared" si="572"/>
        <v>0</v>
      </c>
      <c r="AF566" s="1">
        <f t="shared" si="532"/>
        <v>2000</v>
      </c>
    </row>
    <row r="567" spans="1:32" outlineLevel="2">
      <c r="A567" s="11">
        <v>34000</v>
      </c>
      <c r="B567" s="59">
        <v>16000</v>
      </c>
      <c r="C567" s="55" t="s">
        <v>756</v>
      </c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>
        <v>0</v>
      </c>
      <c r="U567" s="53"/>
      <c r="V567" s="53">
        <f t="shared" si="575"/>
        <v>0</v>
      </c>
      <c r="W567" s="53">
        <f t="shared" si="569"/>
        <v>0</v>
      </c>
      <c r="X567" s="1">
        <v>0</v>
      </c>
      <c r="Y567" s="41">
        <f t="shared" si="576"/>
        <v>0</v>
      </c>
      <c r="Z567" s="1">
        <f t="shared" si="570"/>
        <v>0</v>
      </c>
      <c r="AA567" s="1">
        <v>0</v>
      </c>
      <c r="AB567" s="1">
        <f t="shared" si="573"/>
        <v>0</v>
      </c>
      <c r="AC567" s="1">
        <f t="shared" si="574"/>
        <v>0</v>
      </c>
      <c r="AD567" s="41">
        <v>147870.95000000001</v>
      </c>
      <c r="AE567" s="1">
        <f t="shared" si="572"/>
        <v>147870.95000000001</v>
      </c>
      <c r="AF567" s="1">
        <f t="shared" si="532"/>
        <v>147870.95000000001</v>
      </c>
    </row>
    <row r="568" spans="1:32" outlineLevel="2">
      <c r="A568" s="11">
        <v>34000</v>
      </c>
      <c r="B568" s="59">
        <v>20200</v>
      </c>
      <c r="C568" s="55" t="s">
        <v>930</v>
      </c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Y568" s="41"/>
      <c r="Z568" s="1"/>
      <c r="AB568" s="1"/>
      <c r="AC568" s="1">
        <v>0</v>
      </c>
      <c r="AD568" s="41">
        <f>61921.86+19534.68</f>
        <v>81456.540000000008</v>
      </c>
      <c r="AE568" s="1">
        <f t="shared" ref="AE568" si="579">AD568-AC568</f>
        <v>81456.540000000008</v>
      </c>
      <c r="AF568" s="1">
        <f t="shared" ref="AF568" si="580">AC568+AE568</f>
        <v>81456.540000000008</v>
      </c>
    </row>
    <row r="569" spans="1:32" outlineLevel="2">
      <c r="A569" s="11">
        <v>34000</v>
      </c>
      <c r="B569" s="11">
        <v>20300</v>
      </c>
      <c r="C569" s="11" t="s">
        <v>344</v>
      </c>
      <c r="D569" s="7">
        <v>20200</v>
      </c>
      <c r="E569" s="7"/>
      <c r="F569" s="7">
        <f t="shared" si="555"/>
        <v>20200</v>
      </c>
      <c r="G569" s="7"/>
      <c r="H569" s="7">
        <f t="shared" si="514"/>
        <v>20200</v>
      </c>
      <c r="I569" s="1"/>
      <c r="J569" s="1">
        <f t="shared" ref="J569:J636" si="581">H569-I569</f>
        <v>20200</v>
      </c>
      <c r="K569" s="1"/>
      <c r="L569" s="1">
        <f t="shared" si="564"/>
        <v>20200</v>
      </c>
      <c r="N569" s="1">
        <f t="shared" si="544"/>
        <v>20200</v>
      </c>
      <c r="O569" s="1"/>
      <c r="Q569" s="1">
        <f t="shared" si="566"/>
        <v>20200</v>
      </c>
      <c r="T569" s="1">
        <f t="shared" si="568"/>
        <v>20200</v>
      </c>
      <c r="U569" s="1">
        <f t="shared" si="568"/>
        <v>20200</v>
      </c>
      <c r="V569" s="1">
        <f t="shared" si="575"/>
        <v>0</v>
      </c>
      <c r="W569" s="1">
        <f t="shared" si="569"/>
        <v>20200</v>
      </c>
      <c r="X569" s="1">
        <v>20200</v>
      </c>
      <c r="Y569" s="41">
        <f t="shared" si="576"/>
        <v>0</v>
      </c>
      <c r="Z569" s="1">
        <f t="shared" si="570"/>
        <v>20200</v>
      </c>
      <c r="AA569" s="1">
        <v>10000</v>
      </c>
      <c r="AB569" s="1">
        <f t="shared" si="573"/>
        <v>-10200</v>
      </c>
      <c r="AC569" s="1">
        <f t="shared" si="574"/>
        <v>10000</v>
      </c>
      <c r="AD569" s="41">
        <v>10000</v>
      </c>
      <c r="AE569" s="1">
        <f t="shared" si="572"/>
        <v>0</v>
      </c>
      <c r="AF569" s="1">
        <f t="shared" si="532"/>
        <v>10000</v>
      </c>
    </row>
    <row r="570" spans="1:32" outlineLevel="2">
      <c r="A570" s="11">
        <v>34000</v>
      </c>
      <c r="B570" s="11">
        <v>20400</v>
      </c>
      <c r="C570" s="11" t="s">
        <v>269</v>
      </c>
      <c r="D570" s="7">
        <v>8720</v>
      </c>
      <c r="E570" s="7"/>
      <c r="F570" s="7">
        <f t="shared" si="555"/>
        <v>8720</v>
      </c>
      <c r="G570" s="7">
        <v>-1533.32</v>
      </c>
      <c r="H570" s="7">
        <f t="shared" si="514"/>
        <v>7186.68</v>
      </c>
      <c r="I570" s="1"/>
      <c r="J570" s="1">
        <f t="shared" si="581"/>
        <v>7186.68</v>
      </c>
      <c r="K570" s="1"/>
      <c r="L570" s="1">
        <f t="shared" si="564"/>
        <v>7186.68</v>
      </c>
      <c r="N570" s="1">
        <f t="shared" si="544"/>
        <v>7186.68</v>
      </c>
      <c r="O570" s="1"/>
      <c r="Q570" s="1">
        <f t="shared" si="566"/>
        <v>7186.68</v>
      </c>
      <c r="T570" s="1">
        <f t="shared" si="568"/>
        <v>7186.68</v>
      </c>
      <c r="U570" s="1">
        <f t="shared" si="568"/>
        <v>7186.68</v>
      </c>
      <c r="V570" s="1">
        <f t="shared" si="575"/>
        <v>0</v>
      </c>
      <c r="W570" s="1">
        <f t="shared" si="569"/>
        <v>7186.68</v>
      </c>
      <c r="X570" s="1">
        <v>7200</v>
      </c>
      <c r="Y570" s="41">
        <f t="shared" si="576"/>
        <v>13.319999999999709</v>
      </c>
      <c r="Z570" s="1">
        <f t="shared" si="570"/>
        <v>7200</v>
      </c>
      <c r="AA570" s="1">
        <v>6500</v>
      </c>
      <c r="AB570" s="1">
        <f t="shared" si="573"/>
        <v>-700</v>
      </c>
      <c r="AC570" s="1">
        <f t="shared" si="574"/>
        <v>6500</v>
      </c>
      <c r="AD570" s="41">
        <v>6500</v>
      </c>
      <c r="AE570" s="1">
        <f t="shared" si="572"/>
        <v>0</v>
      </c>
      <c r="AF570" s="1">
        <f t="shared" si="532"/>
        <v>6500</v>
      </c>
    </row>
    <row r="571" spans="1:32" outlineLevel="2">
      <c r="A571" s="11">
        <v>34000</v>
      </c>
      <c r="B571" s="11">
        <v>21200</v>
      </c>
      <c r="C571" s="11" t="s">
        <v>440</v>
      </c>
      <c r="D571" s="7">
        <v>136554</v>
      </c>
      <c r="E571" s="7"/>
      <c r="F571" s="7">
        <f t="shared" si="555"/>
        <v>136554</v>
      </c>
      <c r="G571" s="7">
        <v>-70000</v>
      </c>
      <c r="H571" s="7">
        <f t="shared" si="514"/>
        <v>66554</v>
      </c>
      <c r="I571" s="1"/>
      <c r="J571" s="1">
        <f t="shared" si="581"/>
        <v>66554</v>
      </c>
      <c r="K571" s="1"/>
      <c r="L571" s="1">
        <f t="shared" si="564"/>
        <v>66554</v>
      </c>
      <c r="N571" s="1">
        <f t="shared" si="544"/>
        <v>66554</v>
      </c>
      <c r="O571" s="1"/>
      <c r="Q571" s="1">
        <f t="shared" si="566"/>
        <v>66554</v>
      </c>
      <c r="T571" s="1">
        <f t="shared" si="568"/>
        <v>66554</v>
      </c>
      <c r="U571" s="1">
        <f t="shared" si="568"/>
        <v>66554</v>
      </c>
      <c r="V571" s="1">
        <f t="shared" si="575"/>
        <v>0</v>
      </c>
      <c r="W571" s="1">
        <f t="shared" si="569"/>
        <v>66554</v>
      </c>
      <c r="X571" s="1">
        <v>66000</v>
      </c>
      <c r="Y571" s="41">
        <f t="shared" si="576"/>
        <v>-554</v>
      </c>
      <c r="Z571" s="1">
        <f t="shared" si="570"/>
        <v>66000</v>
      </c>
      <c r="AA571" s="1">
        <v>60000</v>
      </c>
      <c r="AB571" s="1">
        <f t="shared" si="573"/>
        <v>-6000</v>
      </c>
      <c r="AC571" s="1">
        <f t="shared" si="574"/>
        <v>60000</v>
      </c>
      <c r="AD571" s="41">
        <v>50000</v>
      </c>
      <c r="AE571" s="1">
        <f t="shared" si="572"/>
        <v>-10000</v>
      </c>
      <c r="AF571" s="1">
        <f t="shared" si="532"/>
        <v>50000</v>
      </c>
    </row>
    <row r="572" spans="1:32" outlineLevel="2">
      <c r="A572" s="11">
        <v>34000</v>
      </c>
      <c r="B572" s="11">
        <v>21300</v>
      </c>
      <c r="C572" s="11" t="s">
        <v>441</v>
      </c>
      <c r="D572" s="7">
        <v>20950</v>
      </c>
      <c r="E572" s="7"/>
      <c r="F572" s="7">
        <f t="shared" si="555"/>
        <v>20950</v>
      </c>
      <c r="G572" s="7">
        <v>-7950</v>
      </c>
      <c r="H572" s="7">
        <f t="shared" ref="H572:H599" si="582">D572+G572</f>
        <v>13000</v>
      </c>
      <c r="I572" s="1"/>
      <c r="J572" s="1">
        <f t="shared" si="581"/>
        <v>13000</v>
      </c>
      <c r="K572" s="1"/>
      <c r="L572" s="1">
        <f t="shared" si="564"/>
        <v>13000</v>
      </c>
      <c r="N572" s="1">
        <f t="shared" si="544"/>
        <v>13000</v>
      </c>
      <c r="O572" s="1"/>
      <c r="Q572" s="1">
        <f t="shared" si="566"/>
        <v>13000</v>
      </c>
      <c r="T572" s="1">
        <f t="shared" si="568"/>
        <v>13000</v>
      </c>
      <c r="U572" s="1">
        <f t="shared" si="568"/>
        <v>13000</v>
      </c>
      <c r="V572" s="1">
        <f t="shared" si="575"/>
        <v>0</v>
      </c>
      <c r="W572" s="1">
        <f t="shared" si="569"/>
        <v>13000</v>
      </c>
      <c r="X572" s="1">
        <v>13000</v>
      </c>
      <c r="Y572" s="41">
        <f t="shared" si="576"/>
        <v>0</v>
      </c>
      <c r="Z572" s="1">
        <f t="shared" si="570"/>
        <v>13000</v>
      </c>
      <c r="AA572" s="1">
        <v>20000</v>
      </c>
      <c r="AB572" s="1">
        <f t="shared" si="573"/>
        <v>7000</v>
      </c>
      <c r="AC572" s="1">
        <f t="shared" si="574"/>
        <v>20000</v>
      </c>
      <c r="AD572" s="41">
        <v>15000</v>
      </c>
      <c r="AE572" s="1">
        <f t="shared" si="572"/>
        <v>-5000</v>
      </c>
      <c r="AF572" s="1">
        <f t="shared" si="532"/>
        <v>15000</v>
      </c>
    </row>
    <row r="573" spans="1:32" s="2" customFormat="1" outlineLevel="1">
      <c r="A573" s="11">
        <v>34000</v>
      </c>
      <c r="B573" s="11">
        <v>22000</v>
      </c>
      <c r="C573" s="11" t="s">
        <v>442</v>
      </c>
      <c r="D573" s="7">
        <v>2000</v>
      </c>
      <c r="E573" s="7"/>
      <c r="F573" s="7">
        <f t="shared" si="555"/>
        <v>2000</v>
      </c>
      <c r="G573" s="7"/>
      <c r="H573" s="7">
        <f t="shared" si="582"/>
        <v>2000</v>
      </c>
      <c r="I573" s="1"/>
      <c r="J573" s="1">
        <f t="shared" si="581"/>
        <v>2000</v>
      </c>
      <c r="K573" s="1"/>
      <c r="L573" s="1">
        <f t="shared" si="564"/>
        <v>2000</v>
      </c>
      <c r="M573" s="7"/>
      <c r="N573" s="1">
        <f t="shared" si="544"/>
        <v>2000</v>
      </c>
      <c r="O573" s="1"/>
      <c r="P573" s="3"/>
      <c r="Q573" s="1">
        <f t="shared" si="566"/>
        <v>2000</v>
      </c>
      <c r="R573" s="3"/>
      <c r="S573" s="3"/>
      <c r="T573" s="1">
        <f t="shared" si="568"/>
        <v>2000</v>
      </c>
      <c r="U573" s="1">
        <f t="shared" si="568"/>
        <v>2000</v>
      </c>
      <c r="V573" s="1">
        <f t="shared" si="575"/>
        <v>0</v>
      </c>
      <c r="W573" s="1">
        <f t="shared" si="569"/>
        <v>2000</v>
      </c>
      <c r="X573" s="41">
        <v>2000</v>
      </c>
      <c r="Y573" s="41">
        <f t="shared" si="576"/>
        <v>0</v>
      </c>
      <c r="Z573" s="1">
        <f t="shared" si="570"/>
        <v>2000</v>
      </c>
      <c r="AA573" s="41">
        <v>1000</v>
      </c>
      <c r="AB573" s="1">
        <f t="shared" si="573"/>
        <v>-1000</v>
      </c>
      <c r="AC573" s="1">
        <f t="shared" si="574"/>
        <v>1000</v>
      </c>
      <c r="AD573" s="41">
        <v>500</v>
      </c>
      <c r="AE573" s="1">
        <f t="shared" ref="AE573" si="583">AD573-AC573</f>
        <v>-500</v>
      </c>
      <c r="AF573" s="1">
        <f t="shared" ref="AF573" si="584">AC573+AE573</f>
        <v>500</v>
      </c>
    </row>
    <row r="574" spans="1:32" outlineLevel="2">
      <c r="A574" s="11">
        <v>34000</v>
      </c>
      <c r="B574" s="11">
        <v>22001</v>
      </c>
      <c r="C574" s="11" t="s">
        <v>443</v>
      </c>
      <c r="D574" s="7">
        <v>2320</v>
      </c>
      <c r="E574" s="7"/>
      <c r="F574" s="7">
        <f t="shared" si="555"/>
        <v>2320</v>
      </c>
      <c r="G574" s="7"/>
      <c r="H574" s="7">
        <f t="shared" si="582"/>
        <v>2320</v>
      </c>
      <c r="I574" s="1"/>
      <c r="J574" s="1">
        <f t="shared" si="581"/>
        <v>2320</v>
      </c>
      <c r="K574" s="1"/>
      <c r="L574" s="1">
        <f t="shared" si="564"/>
        <v>2320</v>
      </c>
      <c r="N574" s="1">
        <f t="shared" si="544"/>
        <v>2320</v>
      </c>
      <c r="O574" s="1"/>
      <c r="Q574" s="1">
        <f t="shared" si="566"/>
        <v>2320</v>
      </c>
      <c r="T574" s="1">
        <f t="shared" si="568"/>
        <v>2320</v>
      </c>
      <c r="U574" s="1">
        <f t="shared" si="568"/>
        <v>2320</v>
      </c>
      <c r="V574" s="1">
        <f t="shared" si="575"/>
        <v>0</v>
      </c>
      <c r="W574" s="1">
        <f t="shared" si="569"/>
        <v>2320</v>
      </c>
      <c r="X574" s="1">
        <v>0</v>
      </c>
      <c r="Y574" s="41">
        <f t="shared" si="576"/>
        <v>-2320</v>
      </c>
      <c r="Z574" s="1">
        <f t="shared" si="570"/>
        <v>0</v>
      </c>
      <c r="AA574" s="1">
        <v>100</v>
      </c>
      <c r="AB574" s="1">
        <f t="shared" si="573"/>
        <v>100</v>
      </c>
      <c r="AC574" s="1">
        <f t="shared" si="574"/>
        <v>100</v>
      </c>
      <c r="AD574" s="41">
        <v>100</v>
      </c>
      <c r="AE574" s="1">
        <f t="shared" si="572"/>
        <v>0</v>
      </c>
      <c r="AF574" s="1">
        <f t="shared" si="532"/>
        <v>100</v>
      </c>
    </row>
    <row r="575" spans="1:32" outlineLevel="2">
      <c r="A575" s="11">
        <v>34000</v>
      </c>
      <c r="B575" s="11">
        <v>22101</v>
      </c>
      <c r="C575" s="11" t="s">
        <v>444</v>
      </c>
      <c r="D575" s="7">
        <v>16000</v>
      </c>
      <c r="E575" s="7"/>
      <c r="F575" s="7">
        <f t="shared" si="555"/>
        <v>16000</v>
      </c>
      <c r="G575" s="7">
        <v>-6000</v>
      </c>
      <c r="H575" s="7">
        <f t="shared" si="582"/>
        <v>10000</v>
      </c>
      <c r="I575" s="1"/>
      <c r="J575" s="1">
        <f t="shared" si="581"/>
        <v>10000</v>
      </c>
      <c r="K575" s="1"/>
      <c r="L575" s="1">
        <f t="shared" si="564"/>
        <v>10000</v>
      </c>
      <c r="M575" s="7">
        <v>-10000</v>
      </c>
      <c r="N575" s="1">
        <f t="shared" si="544"/>
        <v>0</v>
      </c>
      <c r="O575" s="1"/>
      <c r="Q575" s="1">
        <f t="shared" si="566"/>
        <v>0</v>
      </c>
      <c r="T575" s="1">
        <f t="shared" si="568"/>
        <v>0</v>
      </c>
      <c r="U575" s="1">
        <f t="shared" si="568"/>
        <v>0</v>
      </c>
      <c r="V575" s="1">
        <f t="shared" si="575"/>
        <v>0</v>
      </c>
      <c r="W575" s="1">
        <f t="shared" si="569"/>
        <v>0</v>
      </c>
      <c r="X575" s="1">
        <v>500</v>
      </c>
      <c r="Y575" s="41">
        <f t="shared" si="576"/>
        <v>500</v>
      </c>
      <c r="Z575" s="1">
        <f t="shared" si="570"/>
        <v>500</v>
      </c>
      <c r="AA575" s="1">
        <v>1500</v>
      </c>
      <c r="AB575" s="1">
        <f t="shared" si="573"/>
        <v>1000</v>
      </c>
      <c r="AC575" s="1">
        <f t="shared" si="574"/>
        <v>1500</v>
      </c>
      <c r="AD575" s="41">
        <v>1500</v>
      </c>
      <c r="AE575" s="1">
        <f t="shared" si="572"/>
        <v>0</v>
      </c>
      <c r="AF575" s="1">
        <f t="shared" si="532"/>
        <v>1500</v>
      </c>
    </row>
    <row r="576" spans="1:32" outlineLevel="2">
      <c r="A576" s="11">
        <v>34000</v>
      </c>
      <c r="B576" s="11">
        <v>22103</v>
      </c>
      <c r="C576" s="11" t="s">
        <v>445</v>
      </c>
      <c r="D576" s="7">
        <v>12000</v>
      </c>
      <c r="E576" s="7"/>
      <c r="F576" s="7">
        <f t="shared" si="555"/>
        <v>12000</v>
      </c>
      <c r="G576" s="7">
        <v>-2000</v>
      </c>
      <c r="H576" s="7">
        <f t="shared" si="582"/>
        <v>10000</v>
      </c>
      <c r="I576" s="1"/>
      <c r="J576" s="1">
        <f t="shared" si="581"/>
        <v>10000</v>
      </c>
      <c r="K576" s="1"/>
      <c r="L576" s="1">
        <f t="shared" si="564"/>
        <v>10000</v>
      </c>
      <c r="N576" s="1">
        <f t="shared" si="544"/>
        <v>10000</v>
      </c>
      <c r="O576" s="1"/>
      <c r="Q576" s="1">
        <f t="shared" si="566"/>
        <v>10000</v>
      </c>
      <c r="T576" s="1">
        <f t="shared" si="568"/>
        <v>10000</v>
      </c>
      <c r="U576" s="1">
        <f t="shared" si="568"/>
        <v>10000</v>
      </c>
      <c r="V576" s="1">
        <f t="shared" si="575"/>
        <v>0</v>
      </c>
      <c r="W576" s="1">
        <f t="shared" si="569"/>
        <v>10000</v>
      </c>
      <c r="X576" s="1">
        <v>10000</v>
      </c>
      <c r="Y576" s="41">
        <f t="shared" si="576"/>
        <v>0</v>
      </c>
      <c r="Z576" s="1">
        <f t="shared" si="570"/>
        <v>10000</v>
      </c>
      <c r="AA576" s="1">
        <v>15000</v>
      </c>
      <c r="AB576" s="1">
        <f t="shared" si="573"/>
        <v>5000</v>
      </c>
      <c r="AC576" s="1">
        <f t="shared" si="574"/>
        <v>15000</v>
      </c>
      <c r="AD576" s="41">
        <v>15000</v>
      </c>
      <c r="AE576" s="1">
        <f t="shared" si="572"/>
        <v>0</v>
      </c>
      <c r="AF576" s="1">
        <f t="shared" si="532"/>
        <v>15000</v>
      </c>
    </row>
    <row r="577" spans="1:32" outlineLevel="2">
      <c r="A577" s="11">
        <v>34000</v>
      </c>
      <c r="B577" s="11">
        <v>22104</v>
      </c>
      <c r="C577" s="11" t="s">
        <v>446</v>
      </c>
      <c r="D577" s="7">
        <v>3200</v>
      </c>
      <c r="E577" s="7"/>
      <c r="F577" s="7">
        <f t="shared" si="555"/>
        <v>3200</v>
      </c>
      <c r="G577" s="7">
        <v>-1200</v>
      </c>
      <c r="H577" s="7">
        <f t="shared" si="582"/>
        <v>2000</v>
      </c>
      <c r="I577" s="1"/>
      <c r="J577" s="1">
        <f t="shared" si="581"/>
        <v>2000</v>
      </c>
      <c r="K577" s="1"/>
      <c r="L577" s="1">
        <f t="shared" si="564"/>
        <v>2000</v>
      </c>
      <c r="N577" s="1">
        <f t="shared" si="544"/>
        <v>2000</v>
      </c>
      <c r="O577" s="1"/>
      <c r="Q577" s="1">
        <f t="shared" si="566"/>
        <v>2000</v>
      </c>
      <c r="T577" s="1">
        <f t="shared" si="568"/>
        <v>2000</v>
      </c>
      <c r="U577" s="1">
        <f t="shared" si="568"/>
        <v>2000</v>
      </c>
      <c r="V577" s="1">
        <f t="shared" si="575"/>
        <v>0</v>
      </c>
      <c r="W577" s="1">
        <f t="shared" si="569"/>
        <v>2000</v>
      </c>
      <c r="X577" s="1">
        <v>2000</v>
      </c>
      <c r="Y577" s="41">
        <f t="shared" si="576"/>
        <v>0</v>
      </c>
      <c r="Z577" s="1">
        <f t="shared" si="570"/>
        <v>2000</v>
      </c>
      <c r="AA577" s="1">
        <v>6000</v>
      </c>
      <c r="AB577" s="1">
        <f t="shared" si="573"/>
        <v>4000</v>
      </c>
      <c r="AC577" s="1">
        <f t="shared" si="574"/>
        <v>6000</v>
      </c>
      <c r="AD577" s="41">
        <v>7000</v>
      </c>
      <c r="AE577" s="1">
        <f t="shared" si="572"/>
        <v>1000</v>
      </c>
      <c r="AF577" s="1">
        <f t="shared" si="532"/>
        <v>7000</v>
      </c>
    </row>
    <row r="578" spans="1:32" outlineLevel="2">
      <c r="A578" s="11">
        <v>34000</v>
      </c>
      <c r="B578" s="11">
        <v>22110</v>
      </c>
      <c r="C578" s="11" t="s">
        <v>447</v>
      </c>
      <c r="D578" s="7">
        <v>3280</v>
      </c>
      <c r="E578" s="7"/>
      <c r="F578" s="7">
        <f t="shared" si="555"/>
        <v>3280</v>
      </c>
      <c r="G578" s="7">
        <v>-1280</v>
      </c>
      <c r="H578" s="7">
        <f t="shared" si="582"/>
        <v>2000</v>
      </c>
      <c r="I578" s="1"/>
      <c r="J578" s="1">
        <f t="shared" si="581"/>
        <v>2000</v>
      </c>
      <c r="K578" s="1"/>
      <c r="L578" s="1">
        <f t="shared" si="564"/>
        <v>2000</v>
      </c>
      <c r="N578" s="1">
        <f t="shared" si="544"/>
        <v>2000</v>
      </c>
      <c r="O578" s="1"/>
      <c r="Q578" s="1">
        <f t="shared" si="566"/>
        <v>2000</v>
      </c>
      <c r="T578" s="1">
        <f t="shared" si="568"/>
        <v>2000</v>
      </c>
      <c r="U578" s="1">
        <f t="shared" si="568"/>
        <v>2000</v>
      </c>
      <c r="V578" s="1">
        <f t="shared" si="575"/>
        <v>0</v>
      </c>
      <c r="W578" s="1">
        <f t="shared" si="569"/>
        <v>2000</v>
      </c>
      <c r="X578" s="1">
        <v>2000</v>
      </c>
      <c r="Y578" s="41">
        <f t="shared" si="576"/>
        <v>0</v>
      </c>
      <c r="Z578" s="1">
        <f t="shared" si="570"/>
        <v>2000</v>
      </c>
      <c r="AA578" s="1">
        <v>4000</v>
      </c>
      <c r="AB578" s="1">
        <f t="shared" si="573"/>
        <v>2000</v>
      </c>
      <c r="AC578" s="1">
        <f t="shared" si="574"/>
        <v>4000</v>
      </c>
      <c r="AD578" s="41">
        <v>1000</v>
      </c>
      <c r="AE578" s="1">
        <f t="shared" si="572"/>
        <v>-3000</v>
      </c>
      <c r="AF578" s="1">
        <f t="shared" si="532"/>
        <v>1000</v>
      </c>
    </row>
    <row r="579" spans="1:32" outlineLevel="2">
      <c r="A579" s="11">
        <v>34000</v>
      </c>
      <c r="B579" s="11">
        <v>22199</v>
      </c>
      <c r="C579" s="11" t="s">
        <v>655</v>
      </c>
      <c r="D579" s="7">
        <v>60000</v>
      </c>
      <c r="E579" s="7"/>
      <c r="F579" s="7">
        <f t="shared" si="555"/>
        <v>60000</v>
      </c>
      <c r="G579" s="7">
        <v>-10000</v>
      </c>
      <c r="H579" s="7">
        <f t="shared" si="582"/>
        <v>50000</v>
      </c>
      <c r="I579" s="1"/>
      <c r="J579" s="1">
        <f t="shared" si="581"/>
        <v>50000</v>
      </c>
      <c r="K579" s="1"/>
      <c r="L579" s="1">
        <f t="shared" si="564"/>
        <v>50000</v>
      </c>
      <c r="N579" s="1">
        <f t="shared" si="544"/>
        <v>50000</v>
      </c>
      <c r="O579" s="1"/>
      <c r="Q579" s="1">
        <f t="shared" si="566"/>
        <v>50000</v>
      </c>
      <c r="T579" s="1">
        <f t="shared" si="568"/>
        <v>50000</v>
      </c>
      <c r="U579" s="1">
        <f t="shared" si="568"/>
        <v>50000</v>
      </c>
      <c r="V579" s="1">
        <f t="shared" si="575"/>
        <v>0</v>
      </c>
      <c r="W579" s="1">
        <f t="shared" si="569"/>
        <v>50000</v>
      </c>
      <c r="X579" s="1">
        <v>50000</v>
      </c>
      <c r="Y579" s="41">
        <f t="shared" si="576"/>
        <v>0</v>
      </c>
      <c r="Z579" s="1">
        <f t="shared" si="570"/>
        <v>50000</v>
      </c>
      <c r="AA579" s="1">
        <v>45000</v>
      </c>
      <c r="AB579" s="1">
        <f t="shared" si="573"/>
        <v>-5000</v>
      </c>
      <c r="AC579" s="1">
        <f t="shared" si="574"/>
        <v>45000</v>
      </c>
      <c r="AD579" s="41">
        <v>45000</v>
      </c>
      <c r="AE579" s="1">
        <f t="shared" si="572"/>
        <v>0</v>
      </c>
      <c r="AF579" s="1">
        <f t="shared" si="532"/>
        <v>45000</v>
      </c>
    </row>
    <row r="580" spans="1:32" outlineLevel="2">
      <c r="A580" s="11">
        <v>34000</v>
      </c>
      <c r="B580" s="11">
        <v>22601</v>
      </c>
      <c r="C580" s="11" t="s">
        <v>656</v>
      </c>
      <c r="D580" s="7">
        <v>10080</v>
      </c>
      <c r="E580" s="7"/>
      <c r="F580" s="7">
        <f t="shared" si="555"/>
        <v>10080</v>
      </c>
      <c r="G580" s="7">
        <v>-5080</v>
      </c>
      <c r="H580" s="7">
        <f t="shared" si="582"/>
        <v>5000</v>
      </c>
      <c r="I580" s="1"/>
      <c r="J580" s="1">
        <f t="shared" si="581"/>
        <v>5000</v>
      </c>
      <c r="K580" s="1"/>
      <c r="L580" s="1">
        <f t="shared" si="564"/>
        <v>5000</v>
      </c>
      <c r="N580" s="1">
        <f t="shared" si="544"/>
        <v>5000</v>
      </c>
      <c r="O580" s="1"/>
      <c r="Q580" s="1">
        <f t="shared" si="566"/>
        <v>5000</v>
      </c>
      <c r="T580" s="1">
        <f t="shared" si="568"/>
        <v>5000</v>
      </c>
      <c r="U580" s="1">
        <f t="shared" si="568"/>
        <v>5000</v>
      </c>
      <c r="V580" s="1">
        <f t="shared" si="575"/>
        <v>0</v>
      </c>
      <c r="W580" s="1">
        <f t="shared" si="569"/>
        <v>5000</v>
      </c>
      <c r="X580" s="1">
        <v>5000</v>
      </c>
      <c r="Y580" s="41">
        <f t="shared" si="576"/>
        <v>0</v>
      </c>
      <c r="Z580" s="1">
        <f t="shared" si="570"/>
        <v>5000</v>
      </c>
      <c r="AA580" s="1">
        <v>1000</v>
      </c>
      <c r="AB580" s="1">
        <f t="shared" si="573"/>
        <v>-4000</v>
      </c>
      <c r="AC580" s="1">
        <f t="shared" si="574"/>
        <v>1000</v>
      </c>
      <c r="AD580" s="41">
        <v>500</v>
      </c>
      <c r="AE580" s="1">
        <f t="shared" si="572"/>
        <v>-500</v>
      </c>
      <c r="AF580" s="1">
        <f t="shared" si="532"/>
        <v>500</v>
      </c>
    </row>
    <row r="581" spans="1:32" outlineLevel="2">
      <c r="A581" s="11">
        <v>34000</v>
      </c>
      <c r="B581" s="11">
        <v>22602</v>
      </c>
      <c r="C581" s="11" t="s">
        <v>448</v>
      </c>
      <c r="D581" s="7">
        <v>13825</v>
      </c>
      <c r="E581" s="7"/>
      <c r="F581" s="7">
        <f t="shared" si="555"/>
        <v>13825</v>
      </c>
      <c r="G581" s="7">
        <v>-3825</v>
      </c>
      <c r="H581" s="7">
        <f t="shared" si="582"/>
        <v>10000</v>
      </c>
      <c r="I581" s="1"/>
      <c r="J581" s="1">
        <f t="shared" si="581"/>
        <v>10000</v>
      </c>
      <c r="K581" s="1"/>
      <c r="L581" s="1">
        <f t="shared" si="564"/>
        <v>10000</v>
      </c>
      <c r="M581" s="7">
        <v>-2000</v>
      </c>
      <c r="N581" s="1">
        <f t="shared" si="544"/>
        <v>8000</v>
      </c>
      <c r="O581" s="1"/>
      <c r="P581" s="1">
        <v>2000</v>
      </c>
      <c r="Q581" s="1">
        <f t="shared" si="566"/>
        <v>10000</v>
      </c>
      <c r="T581" s="1">
        <f t="shared" si="568"/>
        <v>10000</v>
      </c>
      <c r="U581" s="1">
        <f t="shared" si="568"/>
        <v>10000</v>
      </c>
      <c r="V581" s="1">
        <f t="shared" si="575"/>
        <v>0</v>
      </c>
      <c r="W581" s="1">
        <f t="shared" si="569"/>
        <v>10000</v>
      </c>
      <c r="X581" s="41">
        <v>0</v>
      </c>
      <c r="Y581" s="41">
        <f t="shared" si="576"/>
        <v>-10000</v>
      </c>
      <c r="Z581" s="1">
        <f t="shared" si="570"/>
        <v>0</v>
      </c>
      <c r="AA581" s="1">
        <v>0</v>
      </c>
      <c r="AB581" s="1">
        <f t="shared" si="573"/>
        <v>0</v>
      </c>
      <c r="AC581" s="1">
        <f t="shared" si="574"/>
        <v>0</v>
      </c>
      <c r="AD581" s="41">
        <v>0</v>
      </c>
      <c r="AE581" s="1">
        <f t="shared" si="572"/>
        <v>0</v>
      </c>
      <c r="AF581" s="1">
        <f t="shared" si="532"/>
        <v>0</v>
      </c>
    </row>
    <row r="582" spans="1:32" outlineLevel="2">
      <c r="A582" s="11">
        <v>34000</v>
      </c>
      <c r="B582" s="11">
        <v>22606</v>
      </c>
      <c r="C582" s="11" t="s">
        <v>449</v>
      </c>
      <c r="D582" s="7">
        <v>84979</v>
      </c>
      <c r="E582" s="7"/>
      <c r="F582" s="7">
        <f t="shared" si="555"/>
        <v>84979</v>
      </c>
      <c r="G582" s="7">
        <v>-14979</v>
      </c>
      <c r="H582" s="7">
        <f t="shared" si="582"/>
        <v>70000</v>
      </c>
      <c r="I582" s="1"/>
      <c r="J582" s="1">
        <f t="shared" si="581"/>
        <v>70000</v>
      </c>
      <c r="K582" s="1"/>
      <c r="L582" s="1">
        <f t="shared" si="564"/>
        <v>70000</v>
      </c>
      <c r="N582" s="1">
        <f t="shared" si="544"/>
        <v>70000</v>
      </c>
      <c r="O582" s="1"/>
      <c r="Q582" s="1">
        <f t="shared" si="566"/>
        <v>70000</v>
      </c>
      <c r="T582" s="1">
        <f t="shared" si="568"/>
        <v>70000</v>
      </c>
      <c r="U582" s="1">
        <f t="shared" si="568"/>
        <v>70000</v>
      </c>
      <c r="V582" s="1">
        <f t="shared" si="575"/>
        <v>0</v>
      </c>
      <c r="W582" s="1">
        <f t="shared" si="569"/>
        <v>70000</v>
      </c>
      <c r="X582" s="1">
        <v>70000</v>
      </c>
      <c r="Y582" s="41">
        <f t="shared" si="576"/>
        <v>0</v>
      </c>
      <c r="Z582" s="1">
        <f t="shared" si="570"/>
        <v>70000</v>
      </c>
      <c r="AA582" s="1">
        <f>95000+25000</f>
        <v>120000</v>
      </c>
      <c r="AB582" s="1">
        <f t="shared" si="573"/>
        <v>50000</v>
      </c>
      <c r="AC582" s="1">
        <f t="shared" si="574"/>
        <v>120000</v>
      </c>
      <c r="AD582" s="41">
        <v>95000</v>
      </c>
      <c r="AE582" s="1">
        <f t="shared" si="572"/>
        <v>-25000</v>
      </c>
      <c r="AF582" s="1">
        <f t="shared" si="532"/>
        <v>95000</v>
      </c>
    </row>
    <row r="583" spans="1:32" outlineLevel="2">
      <c r="A583" s="11">
        <v>34000</v>
      </c>
      <c r="B583" s="11">
        <v>22699</v>
      </c>
      <c r="C583" s="11" t="s">
        <v>256</v>
      </c>
      <c r="D583" s="7">
        <v>20000</v>
      </c>
      <c r="E583" s="7"/>
      <c r="F583" s="7">
        <f t="shared" si="555"/>
        <v>20000</v>
      </c>
      <c r="G583" s="7">
        <v>-1000</v>
      </c>
      <c r="H583" s="7">
        <f t="shared" si="582"/>
        <v>19000</v>
      </c>
      <c r="I583" s="1"/>
      <c r="J583" s="1">
        <f t="shared" si="581"/>
        <v>19000</v>
      </c>
      <c r="K583" s="1"/>
      <c r="L583" s="1">
        <f t="shared" si="564"/>
        <v>19000</v>
      </c>
      <c r="M583" s="8"/>
      <c r="N583" s="1">
        <f t="shared" si="544"/>
        <v>19000</v>
      </c>
      <c r="O583" s="1"/>
      <c r="Q583" s="1">
        <f t="shared" si="566"/>
        <v>19000</v>
      </c>
      <c r="T583" s="1">
        <f t="shared" si="568"/>
        <v>19000</v>
      </c>
      <c r="U583" s="1">
        <f t="shared" si="568"/>
        <v>19000</v>
      </c>
      <c r="V583" s="1">
        <f t="shared" si="575"/>
        <v>0</v>
      </c>
      <c r="W583" s="1">
        <f t="shared" si="569"/>
        <v>19000</v>
      </c>
      <c r="X583" s="1">
        <v>19000</v>
      </c>
      <c r="Y583" s="41">
        <f t="shared" si="576"/>
        <v>0</v>
      </c>
      <c r="Z583" s="1">
        <f t="shared" si="570"/>
        <v>19000</v>
      </c>
      <c r="AA583" s="1">
        <v>25000</v>
      </c>
      <c r="AB583" s="1">
        <f t="shared" si="573"/>
        <v>6000</v>
      </c>
      <c r="AC583" s="1">
        <f t="shared" si="574"/>
        <v>25000</v>
      </c>
      <c r="AD583" s="41">
        <f>25000+17000</f>
        <v>42000</v>
      </c>
      <c r="AE583" s="1">
        <f t="shared" si="572"/>
        <v>17000</v>
      </c>
      <c r="AF583" s="1">
        <f t="shared" si="532"/>
        <v>42000</v>
      </c>
    </row>
    <row r="584" spans="1:32" outlineLevel="2">
      <c r="A584" s="11">
        <v>34000</v>
      </c>
      <c r="B584" s="11">
        <v>22706</v>
      </c>
      <c r="C584" s="11" t="s">
        <v>450</v>
      </c>
      <c r="D584" s="7">
        <v>73015</v>
      </c>
      <c r="E584" s="7"/>
      <c r="F584" s="7">
        <f t="shared" si="555"/>
        <v>73015</v>
      </c>
      <c r="G584" s="7">
        <v>-13015</v>
      </c>
      <c r="H584" s="7">
        <f t="shared" si="582"/>
        <v>60000</v>
      </c>
      <c r="I584" s="1"/>
      <c r="J584" s="1">
        <f t="shared" si="581"/>
        <v>60000</v>
      </c>
      <c r="K584" s="1"/>
      <c r="L584" s="1">
        <f t="shared" si="564"/>
        <v>60000</v>
      </c>
      <c r="N584" s="1">
        <f t="shared" si="544"/>
        <v>60000</v>
      </c>
      <c r="O584" s="1"/>
      <c r="Q584" s="1">
        <f t="shared" si="566"/>
        <v>60000</v>
      </c>
      <c r="T584" s="1">
        <f t="shared" si="568"/>
        <v>60000</v>
      </c>
      <c r="U584" s="1">
        <f t="shared" si="568"/>
        <v>60000</v>
      </c>
      <c r="V584" s="1">
        <f t="shared" si="575"/>
        <v>0</v>
      </c>
      <c r="W584" s="1">
        <f t="shared" si="569"/>
        <v>60000</v>
      </c>
      <c r="X584" s="1">
        <v>60000</v>
      </c>
      <c r="Y584" s="41">
        <f t="shared" si="576"/>
        <v>0</v>
      </c>
      <c r="Z584" s="1">
        <f t="shared" si="570"/>
        <v>60000</v>
      </c>
      <c r="AA584" s="1">
        <v>65000</v>
      </c>
      <c r="AB584" s="1">
        <f t="shared" si="573"/>
        <v>5000</v>
      </c>
      <c r="AC584" s="1">
        <f t="shared" si="574"/>
        <v>65000</v>
      </c>
      <c r="AD584" s="41">
        <v>65000</v>
      </c>
      <c r="AE584" s="1">
        <f t="shared" si="572"/>
        <v>0</v>
      </c>
      <c r="AF584" s="1">
        <f t="shared" si="532"/>
        <v>65000</v>
      </c>
    </row>
    <row r="585" spans="1:32" outlineLevel="2">
      <c r="A585" s="11">
        <v>34000</v>
      </c>
      <c r="B585" s="11">
        <v>23020</v>
      </c>
      <c r="C585" s="11" t="s">
        <v>451</v>
      </c>
      <c r="D585" s="7">
        <v>1520</v>
      </c>
      <c r="E585" s="7"/>
      <c r="F585" s="7">
        <f t="shared" si="555"/>
        <v>1520</v>
      </c>
      <c r="G585" s="7"/>
      <c r="H585" s="7">
        <f t="shared" si="582"/>
        <v>1520</v>
      </c>
      <c r="I585" s="1"/>
      <c r="J585" s="1">
        <f t="shared" si="581"/>
        <v>1520</v>
      </c>
      <c r="K585" s="1"/>
      <c r="L585" s="1">
        <f t="shared" si="564"/>
        <v>1520</v>
      </c>
      <c r="N585" s="1">
        <f t="shared" si="544"/>
        <v>1520</v>
      </c>
      <c r="O585" s="1"/>
      <c r="Q585" s="1">
        <f t="shared" si="566"/>
        <v>1520</v>
      </c>
      <c r="T585" s="1">
        <f t="shared" si="568"/>
        <v>1520</v>
      </c>
      <c r="U585" s="1">
        <f t="shared" si="568"/>
        <v>1520</v>
      </c>
      <c r="V585" s="1">
        <f t="shared" si="575"/>
        <v>0</v>
      </c>
      <c r="W585" s="1">
        <f t="shared" si="569"/>
        <v>1520</v>
      </c>
      <c r="X585" s="1">
        <v>500</v>
      </c>
      <c r="Y585" s="41">
        <f t="shared" si="576"/>
        <v>-1020</v>
      </c>
      <c r="Z585" s="1">
        <f t="shared" si="570"/>
        <v>500</v>
      </c>
      <c r="AA585" s="1">
        <v>100</v>
      </c>
      <c r="AB585" s="1">
        <f t="shared" si="573"/>
        <v>-400</v>
      </c>
      <c r="AC585" s="1">
        <f t="shared" si="574"/>
        <v>100</v>
      </c>
      <c r="AD585" s="41">
        <v>250</v>
      </c>
      <c r="AE585" s="1">
        <f t="shared" si="572"/>
        <v>150</v>
      </c>
      <c r="AF585" s="1">
        <f t="shared" si="532"/>
        <v>250</v>
      </c>
    </row>
    <row r="586" spans="1:32" outlineLevel="2">
      <c r="A586" s="11">
        <v>34000</v>
      </c>
      <c r="B586" s="11">
        <v>23120</v>
      </c>
      <c r="C586" s="11" t="s">
        <v>452</v>
      </c>
      <c r="D586" s="7">
        <v>2003.24</v>
      </c>
      <c r="E586" s="7"/>
      <c r="F586" s="7">
        <f t="shared" si="555"/>
        <v>2003.24</v>
      </c>
      <c r="G586" s="7"/>
      <c r="H586" s="7">
        <f t="shared" si="582"/>
        <v>2003.24</v>
      </c>
      <c r="I586" s="1"/>
      <c r="J586" s="1">
        <f t="shared" si="581"/>
        <v>2003.24</v>
      </c>
      <c r="K586" s="1"/>
      <c r="L586" s="1">
        <f t="shared" si="564"/>
        <v>2003.24</v>
      </c>
      <c r="N586" s="1">
        <f t="shared" si="544"/>
        <v>2003.24</v>
      </c>
      <c r="O586" s="1"/>
      <c r="Q586" s="1">
        <f t="shared" si="566"/>
        <v>2003.24</v>
      </c>
      <c r="T586" s="1">
        <f t="shared" si="568"/>
        <v>2003.24</v>
      </c>
      <c r="U586" s="1">
        <f t="shared" si="568"/>
        <v>2003.24</v>
      </c>
      <c r="V586" s="1">
        <f t="shared" si="575"/>
        <v>0</v>
      </c>
      <c r="W586" s="1">
        <f t="shared" si="569"/>
        <v>2003.24</v>
      </c>
      <c r="X586" s="1">
        <v>500</v>
      </c>
      <c r="Y586" s="41">
        <f t="shared" si="576"/>
        <v>-1503.24</v>
      </c>
      <c r="Z586" s="1">
        <f t="shared" si="570"/>
        <v>500</v>
      </c>
      <c r="AA586" s="1">
        <v>100</v>
      </c>
      <c r="AB586" s="1">
        <f t="shared" si="573"/>
        <v>-400</v>
      </c>
      <c r="AC586" s="1">
        <f t="shared" si="574"/>
        <v>100</v>
      </c>
      <c r="AD586" s="41">
        <v>100</v>
      </c>
      <c r="AE586" s="1">
        <f t="shared" si="572"/>
        <v>0</v>
      </c>
      <c r="AF586" s="1">
        <f t="shared" si="532"/>
        <v>100</v>
      </c>
    </row>
    <row r="587" spans="1:32" outlineLevel="2">
      <c r="A587" s="11">
        <v>34000</v>
      </c>
      <c r="B587" s="11">
        <v>46701</v>
      </c>
      <c r="C587" s="11" t="s">
        <v>453</v>
      </c>
      <c r="D587" s="7">
        <v>7500</v>
      </c>
      <c r="E587" s="7"/>
      <c r="F587" s="7">
        <f t="shared" si="555"/>
        <v>7500</v>
      </c>
      <c r="G587" s="7"/>
      <c r="H587" s="7">
        <f t="shared" si="582"/>
        <v>7500</v>
      </c>
      <c r="I587" s="1"/>
      <c r="J587" s="1">
        <f t="shared" si="581"/>
        <v>7500</v>
      </c>
      <c r="K587" s="1"/>
      <c r="L587" s="1">
        <f t="shared" si="564"/>
        <v>7500</v>
      </c>
      <c r="M587" s="7">
        <v>0</v>
      </c>
      <c r="N587" s="1">
        <f t="shared" si="544"/>
        <v>7500</v>
      </c>
      <c r="O587" s="1"/>
      <c r="P587" s="1">
        <v>-3500</v>
      </c>
      <c r="Q587" s="1">
        <f t="shared" si="566"/>
        <v>4000</v>
      </c>
      <c r="T587" s="1">
        <f t="shared" si="568"/>
        <v>4000</v>
      </c>
      <c r="U587" s="1">
        <f t="shared" si="568"/>
        <v>4000</v>
      </c>
      <c r="V587" s="1">
        <f t="shared" si="575"/>
        <v>0</v>
      </c>
      <c r="W587" s="1">
        <f t="shared" si="569"/>
        <v>4000</v>
      </c>
      <c r="X587" s="1">
        <v>4000</v>
      </c>
      <c r="Y587" s="41">
        <f t="shared" si="576"/>
        <v>0</v>
      </c>
      <c r="Z587" s="1">
        <f t="shared" si="570"/>
        <v>4000</v>
      </c>
      <c r="AA587" s="1">
        <v>4500</v>
      </c>
      <c r="AB587" s="1">
        <f t="shared" si="573"/>
        <v>500</v>
      </c>
      <c r="AC587" s="1">
        <f t="shared" si="574"/>
        <v>4500</v>
      </c>
      <c r="AD587" s="41">
        <v>5000</v>
      </c>
      <c r="AE587" s="1">
        <f t="shared" si="572"/>
        <v>500</v>
      </c>
      <c r="AF587" s="1">
        <f t="shared" si="532"/>
        <v>5000</v>
      </c>
    </row>
    <row r="588" spans="1:32" outlineLevel="2">
      <c r="A588" s="11">
        <v>34000</v>
      </c>
      <c r="B588" s="11">
        <v>48100</v>
      </c>
      <c r="C588" s="11" t="s">
        <v>454</v>
      </c>
      <c r="D588" s="7">
        <v>6020</v>
      </c>
      <c r="E588" s="7"/>
      <c r="F588" s="7">
        <f t="shared" si="555"/>
        <v>6020</v>
      </c>
      <c r="G588" s="7">
        <v>-5020</v>
      </c>
      <c r="H588" s="7">
        <f t="shared" si="582"/>
        <v>1000</v>
      </c>
      <c r="I588" s="1"/>
      <c r="J588" s="1">
        <f t="shared" si="581"/>
        <v>1000</v>
      </c>
      <c r="K588" s="1"/>
      <c r="L588" s="1">
        <f t="shared" si="564"/>
        <v>1000</v>
      </c>
      <c r="N588" s="1">
        <f t="shared" si="544"/>
        <v>1000</v>
      </c>
      <c r="O588" s="1"/>
      <c r="P588" s="1">
        <v>2000</v>
      </c>
      <c r="Q588" s="1">
        <f t="shared" si="566"/>
        <v>3000</v>
      </c>
      <c r="T588" s="1">
        <f t="shared" si="568"/>
        <v>3000</v>
      </c>
      <c r="U588" s="1">
        <f t="shared" si="568"/>
        <v>3000</v>
      </c>
      <c r="V588" s="1">
        <f t="shared" si="575"/>
        <v>0</v>
      </c>
      <c r="W588" s="1">
        <f t="shared" si="569"/>
        <v>3000</v>
      </c>
      <c r="X588" s="1">
        <v>3000</v>
      </c>
      <c r="Y588" s="41">
        <f t="shared" si="576"/>
        <v>0</v>
      </c>
      <c r="Z588" s="1">
        <f t="shared" si="570"/>
        <v>3000</v>
      </c>
      <c r="AA588" s="1">
        <v>1000</v>
      </c>
      <c r="AB588" s="1">
        <f t="shared" si="573"/>
        <v>-2000</v>
      </c>
      <c r="AC588" s="1">
        <f t="shared" si="574"/>
        <v>1000</v>
      </c>
      <c r="AD588" s="41">
        <v>1000</v>
      </c>
      <c r="AE588" s="1">
        <f t="shared" si="572"/>
        <v>0</v>
      </c>
      <c r="AF588" s="1">
        <f t="shared" si="532"/>
        <v>1000</v>
      </c>
    </row>
    <row r="589" spans="1:32" outlineLevel="2">
      <c r="A589" s="11">
        <v>34000</v>
      </c>
      <c r="B589" s="11">
        <v>48900</v>
      </c>
      <c r="C589" s="11" t="s">
        <v>455</v>
      </c>
      <c r="D589" s="7">
        <v>270202</v>
      </c>
      <c r="E589" s="7">
        <v>207054</v>
      </c>
      <c r="F589" s="7">
        <f t="shared" si="555"/>
        <v>63148</v>
      </c>
      <c r="G589" s="7">
        <v>-63148</v>
      </c>
      <c r="H589" s="7">
        <f>D589+G589</f>
        <v>207054</v>
      </c>
      <c r="I589" s="1"/>
      <c r="J589" s="1">
        <f t="shared" si="581"/>
        <v>207054</v>
      </c>
      <c r="K589" s="1"/>
      <c r="L589" s="1">
        <f t="shared" si="564"/>
        <v>207054</v>
      </c>
      <c r="M589" s="7">
        <f>123100-L589</f>
        <v>-83954</v>
      </c>
      <c r="N589" s="1">
        <f t="shared" si="544"/>
        <v>123100</v>
      </c>
      <c r="O589" s="1"/>
      <c r="P589" s="1">
        <v>-33200</v>
      </c>
      <c r="Q589" s="1">
        <f t="shared" si="566"/>
        <v>89900</v>
      </c>
      <c r="T589" s="1">
        <f t="shared" si="568"/>
        <v>89900</v>
      </c>
      <c r="U589" s="1">
        <f t="shared" si="568"/>
        <v>89900</v>
      </c>
      <c r="V589" s="1">
        <f t="shared" si="575"/>
        <v>0</v>
      </c>
      <c r="W589" s="1">
        <f t="shared" si="569"/>
        <v>89900</v>
      </c>
      <c r="X589" s="1">
        <v>89900</v>
      </c>
      <c r="Y589" s="41">
        <f t="shared" si="576"/>
        <v>0</v>
      </c>
      <c r="Z589" s="1">
        <f t="shared" si="570"/>
        <v>89900</v>
      </c>
      <c r="AA589" s="1">
        <v>95900</v>
      </c>
      <c r="AB589" s="1">
        <f t="shared" si="573"/>
        <v>6000</v>
      </c>
      <c r="AC589" s="1">
        <f t="shared" si="574"/>
        <v>95900</v>
      </c>
      <c r="AD589" s="41">
        <f>95900-17000</f>
        <v>78900</v>
      </c>
      <c r="AE589" s="1">
        <f t="shared" si="572"/>
        <v>-17000</v>
      </c>
      <c r="AF589" s="1">
        <f t="shared" si="532"/>
        <v>78900</v>
      </c>
    </row>
    <row r="590" spans="1:32" outlineLevel="2">
      <c r="A590" s="11">
        <v>34000</v>
      </c>
      <c r="B590" s="11">
        <v>48901</v>
      </c>
      <c r="C590" s="11" t="s">
        <v>456</v>
      </c>
      <c r="D590" s="7">
        <v>129100</v>
      </c>
      <c r="E590" s="7">
        <v>269597</v>
      </c>
      <c r="F590" s="7">
        <f t="shared" si="555"/>
        <v>-140497</v>
      </c>
      <c r="G590" s="7">
        <v>140497</v>
      </c>
      <c r="H590" s="7">
        <f t="shared" si="582"/>
        <v>269597</v>
      </c>
      <c r="I590" s="1"/>
      <c r="J590" s="1">
        <f t="shared" si="581"/>
        <v>269597</v>
      </c>
      <c r="K590" s="1"/>
      <c r="L590" s="1">
        <f t="shared" si="564"/>
        <v>269597</v>
      </c>
      <c r="M590" s="7">
        <f>294693-L590</f>
        <v>25096</v>
      </c>
      <c r="N590" s="1">
        <f t="shared" si="544"/>
        <v>294693</v>
      </c>
      <c r="O590" s="1"/>
      <c r="Q590" s="1">
        <f t="shared" si="566"/>
        <v>294693</v>
      </c>
      <c r="T590" s="1">
        <f t="shared" si="568"/>
        <v>294693</v>
      </c>
      <c r="U590" s="1">
        <v>334187</v>
      </c>
      <c r="V590" s="1">
        <f t="shared" si="575"/>
        <v>39494</v>
      </c>
      <c r="W590" s="1">
        <f t="shared" si="569"/>
        <v>334187</v>
      </c>
      <c r="X590" s="1">
        <v>467170</v>
      </c>
      <c r="Y590" s="41">
        <f t="shared" si="576"/>
        <v>132983</v>
      </c>
      <c r="Z590" s="1">
        <f t="shared" si="570"/>
        <v>467170</v>
      </c>
      <c r="AA590" s="1">
        <v>516258</v>
      </c>
      <c r="AB590" s="1">
        <f t="shared" si="573"/>
        <v>49088</v>
      </c>
      <c r="AC590" s="1">
        <f t="shared" si="574"/>
        <v>516258</v>
      </c>
      <c r="AD590" s="41">
        <v>535840</v>
      </c>
      <c r="AE590" s="1">
        <f t="shared" si="572"/>
        <v>19582</v>
      </c>
      <c r="AF590" s="1">
        <f t="shared" si="532"/>
        <v>535840</v>
      </c>
    </row>
    <row r="591" spans="1:32" outlineLevel="2">
      <c r="A591" s="11">
        <v>34000</v>
      </c>
      <c r="B591" s="11">
        <v>48902</v>
      </c>
      <c r="C591" s="39" t="s">
        <v>825</v>
      </c>
      <c r="D591" s="7"/>
      <c r="E591" s="7"/>
      <c r="F591" s="7"/>
      <c r="G591" s="7"/>
      <c r="H591" s="7"/>
      <c r="I591" s="1"/>
      <c r="J591" s="1"/>
      <c r="K591" s="1"/>
      <c r="L591" s="1"/>
      <c r="N591" s="1"/>
      <c r="O591" s="1"/>
      <c r="T591" s="1"/>
      <c r="V591" s="1"/>
      <c r="W591" s="1"/>
      <c r="Y591" s="41"/>
      <c r="Z591" s="1">
        <v>0</v>
      </c>
      <c r="AA591" s="1">
        <v>0</v>
      </c>
      <c r="AB591" s="1">
        <f t="shared" si="573"/>
        <v>0</v>
      </c>
      <c r="AC591" s="1">
        <f t="shared" si="574"/>
        <v>0</v>
      </c>
      <c r="AD591" s="41">
        <v>0</v>
      </c>
      <c r="AE591" s="1">
        <f t="shared" si="572"/>
        <v>0</v>
      </c>
      <c r="AF591" s="1">
        <f t="shared" si="532"/>
        <v>0</v>
      </c>
    </row>
    <row r="592" spans="1:32" outlineLevel="2">
      <c r="A592" s="11">
        <v>34000</v>
      </c>
      <c r="B592" s="11">
        <v>48903</v>
      </c>
      <c r="C592" s="11" t="s">
        <v>891</v>
      </c>
      <c r="D592" s="7"/>
      <c r="E592" s="7"/>
      <c r="F592" s="7"/>
      <c r="G592" s="7"/>
      <c r="H592" s="7"/>
      <c r="I592" s="1"/>
      <c r="J592" s="1"/>
      <c r="K592" s="1"/>
      <c r="L592" s="1"/>
      <c r="N592" s="1"/>
      <c r="O592" s="1"/>
      <c r="T592" s="1"/>
      <c r="V592" s="1"/>
      <c r="W592" s="1"/>
      <c r="Y592" s="41"/>
      <c r="Z592" s="1">
        <v>0</v>
      </c>
      <c r="AA592" s="1">
        <v>10000</v>
      </c>
      <c r="AB592" s="1">
        <f t="shared" si="573"/>
        <v>10000</v>
      </c>
      <c r="AC592" s="1">
        <f t="shared" si="574"/>
        <v>10000</v>
      </c>
      <c r="AD592" s="41">
        <v>10000</v>
      </c>
      <c r="AE592" s="1">
        <f t="shared" si="572"/>
        <v>0</v>
      </c>
      <c r="AF592" s="1">
        <f t="shared" si="532"/>
        <v>10000</v>
      </c>
    </row>
    <row r="593" spans="1:32" outlineLevel="2">
      <c r="A593" s="11">
        <v>34000</v>
      </c>
      <c r="B593" s="11">
        <v>62300</v>
      </c>
      <c r="C593" s="39" t="s">
        <v>858</v>
      </c>
      <c r="D593" s="7"/>
      <c r="E593" s="7"/>
      <c r="F593" s="7"/>
      <c r="G593" s="7"/>
      <c r="H593" s="7"/>
      <c r="I593" s="1"/>
      <c r="J593" s="1"/>
      <c r="K593" s="1"/>
      <c r="L593" s="1"/>
      <c r="N593" s="1"/>
      <c r="O593" s="1"/>
      <c r="T593" s="1"/>
      <c r="V593" s="1"/>
      <c r="W593" s="1"/>
      <c r="Y593" s="41"/>
      <c r="Z593" s="1">
        <v>0</v>
      </c>
      <c r="AA593" s="1">
        <v>40000</v>
      </c>
      <c r="AB593" s="1">
        <f t="shared" ref="AB593" si="585">AA593-Z593</f>
        <v>40000</v>
      </c>
      <c r="AC593" s="1">
        <f t="shared" ref="AC593" si="586">Z593+AB593</f>
        <v>40000</v>
      </c>
      <c r="AD593" s="41">
        <v>105000</v>
      </c>
      <c r="AE593" s="1">
        <f t="shared" si="572"/>
        <v>65000</v>
      </c>
      <c r="AF593" s="1">
        <f t="shared" si="532"/>
        <v>105000</v>
      </c>
    </row>
    <row r="594" spans="1:32" outlineLevel="2">
      <c r="A594" s="9" t="s">
        <v>18</v>
      </c>
      <c r="B594" s="9"/>
      <c r="C594" s="9" t="s">
        <v>47</v>
      </c>
      <c r="D594" s="8">
        <f t="shared" ref="D594:L594" si="587">SUBTOTAL(9,D554:D590)</f>
        <v>1427892.67</v>
      </c>
      <c r="E594" s="8">
        <f t="shared" si="587"/>
        <v>1105382.76</v>
      </c>
      <c r="F594" s="8">
        <f t="shared" si="587"/>
        <v>322509.90999999997</v>
      </c>
      <c r="G594" s="8">
        <f t="shared" si="587"/>
        <v>38774.009999999995</v>
      </c>
      <c r="H594" s="8">
        <f t="shared" si="587"/>
        <v>1466666.68</v>
      </c>
      <c r="I594" s="8">
        <f t="shared" si="587"/>
        <v>534351.94999999995</v>
      </c>
      <c r="J594" s="8">
        <f t="shared" si="587"/>
        <v>932314.73</v>
      </c>
      <c r="K594" s="8">
        <f>SUBTOTAL(9,K554:K590)</f>
        <v>-94379.81</v>
      </c>
      <c r="L594" s="8">
        <f t="shared" si="587"/>
        <v>1372286.87</v>
      </c>
      <c r="M594" s="8">
        <f>SUBTOTAL(9,M554:M590)</f>
        <v>-60319.810000000012</v>
      </c>
      <c r="N594" s="8">
        <f>SUBTOTAL(9,N554:N590)</f>
        <v>1311967.06</v>
      </c>
      <c r="O594" s="8">
        <f>SUBTOTAL(9,O554:O590)</f>
        <v>494808.49</v>
      </c>
      <c r="P594" s="8">
        <f>SUBTOTAL(9,P554:P590)</f>
        <v>-82781.649999999994</v>
      </c>
      <c r="Q594" s="8">
        <f>SUBTOTAL(9,Q554:Q590)</f>
        <v>1229185.4099999999</v>
      </c>
      <c r="S594" s="8">
        <f>SUBTOTAL(9,S554:S590)</f>
        <v>-21932.619999999988</v>
      </c>
      <c r="T594" s="8">
        <f>SUBTOTAL(9,T554:T590)</f>
        <v>1207252.79</v>
      </c>
      <c r="U594" s="8">
        <f t="shared" ref="U594:Y594" si="588">SUBTOTAL(9,U554:U590)</f>
        <v>1249542.3399999999</v>
      </c>
      <c r="V594" s="8">
        <f t="shared" si="588"/>
        <v>42289.55</v>
      </c>
      <c r="W594" s="8">
        <f t="shared" si="588"/>
        <v>1249542.3399999999</v>
      </c>
      <c r="X594" s="8">
        <f t="shared" si="588"/>
        <v>1420428.42</v>
      </c>
      <c r="Y594" s="8">
        <f t="shared" si="588"/>
        <v>170886.08</v>
      </c>
      <c r="Z594" s="8">
        <f>SUBTOTAL(9,Z554:Z593)</f>
        <v>1420428.42</v>
      </c>
      <c r="AA594" s="8">
        <f t="shared" ref="AA594:AE594" si="589">SUBTOTAL(9,AA554:AA593)</f>
        <v>1515725.5899999999</v>
      </c>
      <c r="AB594" s="8">
        <f t="shared" si="589"/>
        <v>95297.170000000013</v>
      </c>
      <c r="AC594" s="8">
        <f t="shared" si="589"/>
        <v>1515725.5899999999</v>
      </c>
      <c r="AD594" s="8">
        <f t="shared" si="589"/>
        <v>1772742.5</v>
      </c>
      <c r="AE594" s="8">
        <f t="shared" si="589"/>
        <v>257016.91</v>
      </c>
      <c r="AF594" s="3">
        <f t="shared" si="532"/>
        <v>1772742.4999999998</v>
      </c>
    </row>
    <row r="595" spans="1:32" outlineLevel="2">
      <c r="A595" s="11">
        <v>41000</v>
      </c>
      <c r="B595" s="11">
        <v>22000</v>
      </c>
      <c r="C595" s="11" t="s">
        <v>280</v>
      </c>
      <c r="D595" s="7">
        <v>400</v>
      </c>
      <c r="E595" s="7"/>
      <c r="F595" s="7">
        <f t="shared" si="555"/>
        <v>400</v>
      </c>
      <c r="G595" s="7"/>
      <c r="H595" s="7">
        <f t="shared" si="582"/>
        <v>400</v>
      </c>
      <c r="I595" s="1"/>
      <c r="J595" s="1">
        <f t="shared" si="581"/>
        <v>400</v>
      </c>
      <c r="K595" s="1"/>
      <c r="L595" s="1">
        <f t="shared" ref="L595:L599" si="590">H595+K595</f>
        <v>400</v>
      </c>
      <c r="M595" s="8"/>
      <c r="N595" s="1">
        <f t="shared" si="544"/>
        <v>400</v>
      </c>
      <c r="O595" s="1"/>
      <c r="Q595" s="1">
        <f t="shared" ref="Q595:Q599" si="591">N595+P595</f>
        <v>400</v>
      </c>
      <c r="T595" s="1">
        <f t="shared" ref="T595:T599" si="592">Q595+S595</f>
        <v>400</v>
      </c>
      <c r="U595" s="1">
        <v>100</v>
      </c>
      <c r="V595" s="1">
        <f t="shared" ref="V595:V599" si="593">U595-T595</f>
        <v>-300</v>
      </c>
      <c r="W595" s="1">
        <f t="shared" ref="W595:W599" si="594">T595+V595</f>
        <v>100</v>
      </c>
      <c r="X595" s="1">
        <v>0</v>
      </c>
      <c r="Y595" s="41">
        <f t="shared" si="576"/>
        <v>-100</v>
      </c>
      <c r="Z595" s="1">
        <f>W595+Y595</f>
        <v>0</v>
      </c>
      <c r="AA595" s="1">
        <v>0</v>
      </c>
      <c r="AB595" s="1">
        <f t="shared" si="573"/>
        <v>0</v>
      </c>
      <c r="AC595" s="1">
        <f t="shared" ref="AC595:AC599" si="595">Z595+AB595</f>
        <v>0</v>
      </c>
      <c r="AD595" s="41">
        <v>0</v>
      </c>
      <c r="AE595" s="1">
        <f t="shared" ref="AE595:AE599" si="596">AD595-AC595</f>
        <v>0</v>
      </c>
      <c r="AF595" s="1">
        <f t="shared" si="532"/>
        <v>0</v>
      </c>
    </row>
    <row r="596" spans="1:32" outlineLevel="2">
      <c r="A596" s="11">
        <v>41000</v>
      </c>
      <c r="B596" s="11">
        <v>22001</v>
      </c>
      <c r="C596" s="11" t="s">
        <v>384</v>
      </c>
      <c r="D596" s="7">
        <v>5000</v>
      </c>
      <c r="E596" s="7"/>
      <c r="F596" s="7">
        <f t="shared" si="555"/>
        <v>5000</v>
      </c>
      <c r="G596" s="7"/>
      <c r="H596" s="7">
        <f t="shared" si="582"/>
        <v>5000</v>
      </c>
      <c r="I596" s="1"/>
      <c r="J596" s="1">
        <f t="shared" si="581"/>
        <v>5000</v>
      </c>
      <c r="K596" s="1"/>
      <c r="L596" s="1">
        <f t="shared" si="590"/>
        <v>5000</v>
      </c>
      <c r="N596" s="1">
        <f t="shared" si="544"/>
        <v>5000</v>
      </c>
      <c r="O596" s="1"/>
      <c r="Q596" s="1">
        <f t="shared" si="591"/>
        <v>5000</v>
      </c>
      <c r="T596" s="1">
        <f t="shared" si="592"/>
        <v>5000</v>
      </c>
      <c r="U596" s="1">
        <v>1000</v>
      </c>
      <c r="V596" s="1">
        <f t="shared" si="593"/>
        <v>-4000</v>
      </c>
      <c r="W596" s="1">
        <f t="shared" si="594"/>
        <v>1000</v>
      </c>
      <c r="X596" s="1">
        <v>0</v>
      </c>
      <c r="Y596" s="41">
        <f t="shared" si="576"/>
        <v>-1000</v>
      </c>
      <c r="Z596" s="1">
        <f>W596+Y596</f>
        <v>0</v>
      </c>
      <c r="AA596" s="1">
        <v>0</v>
      </c>
      <c r="AB596" s="1">
        <f t="shared" si="573"/>
        <v>0</v>
      </c>
      <c r="AC596" s="1">
        <f t="shared" si="595"/>
        <v>0</v>
      </c>
      <c r="AD596" s="41">
        <v>0</v>
      </c>
      <c r="AE596" s="1">
        <f t="shared" si="596"/>
        <v>0</v>
      </c>
      <c r="AF596" s="1">
        <f t="shared" si="532"/>
        <v>0</v>
      </c>
    </row>
    <row r="597" spans="1:32" outlineLevel="2">
      <c r="A597" s="11">
        <v>41000</v>
      </c>
      <c r="B597" s="11">
        <v>22699</v>
      </c>
      <c r="C597" s="11" t="s">
        <v>256</v>
      </c>
      <c r="D597" s="7">
        <v>800</v>
      </c>
      <c r="E597" s="7"/>
      <c r="F597" s="7">
        <f t="shared" si="555"/>
        <v>800</v>
      </c>
      <c r="G597" s="7"/>
      <c r="H597" s="7">
        <f t="shared" si="582"/>
        <v>800</v>
      </c>
      <c r="I597" s="1"/>
      <c r="J597" s="1">
        <f t="shared" si="581"/>
        <v>800</v>
      </c>
      <c r="K597" s="1"/>
      <c r="L597" s="1">
        <f t="shared" si="590"/>
        <v>800</v>
      </c>
      <c r="N597" s="1">
        <f t="shared" si="544"/>
        <v>800</v>
      </c>
      <c r="O597" s="1"/>
      <c r="Q597" s="1">
        <f t="shared" si="591"/>
        <v>800</v>
      </c>
      <c r="T597" s="1">
        <f t="shared" si="592"/>
        <v>800</v>
      </c>
      <c r="U597" s="1">
        <v>10000</v>
      </c>
      <c r="V597" s="1">
        <f t="shared" si="593"/>
        <v>9200</v>
      </c>
      <c r="W597" s="1">
        <f t="shared" si="594"/>
        <v>10000</v>
      </c>
      <c r="X597" s="1">
        <v>20000</v>
      </c>
      <c r="Y597" s="41">
        <f t="shared" si="576"/>
        <v>10000</v>
      </c>
      <c r="Z597" s="1">
        <f>W597+Y597</f>
        <v>20000</v>
      </c>
      <c r="AA597" s="1">
        <v>35000</v>
      </c>
      <c r="AB597" s="1">
        <f t="shared" si="573"/>
        <v>15000</v>
      </c>
      <c r="AC597" s="1">
        <f t="shared" si="595"/>
        <v>35000</v>
      </c>
      <c r="AD597" s="41">
        <v>35000</v>
      </c>
      <c r="AE597" s="1">
        <f t="shared" si="596"/>
        <v>0</v>
      </c>
      <c r="AF597" s="1">
        <f t="shared" si="532"/>
        <v>35000</v>
      </c>
    </row>
    <row r="598" spans="1:32" outlineLevel="2">
      <c r="A598" s="11">
        <v>41000</v>
      </c>
      <c r="B598" s="11">
        <v>23020</v>
      </c>
      <c r="C598" s="11" t="s">
        <v>402</v>
      </c>
      <c r="D598" s="7">
        <v>500</v>
      </c>
      <c r="E598" s="7"/>
      <c r="F598" s="7">
        <f t="shared" si="555"/>
        <v>500</v>
      </c>
      <c r="G598" s="7"/>
      <c r="H598" s="7">
        <f t="shared" si="582"/>
        <v>500</v>
      </c>
      <c r="I598" s="1"/>
      <c r="J598" s="1">
        <f t="shared" si="581"/>
        <v>500</v>
      </c>
      <c r="K598" s="1"/>
      <c r="L598" s="1">
        <f t="shared" si="590"/>
        <v>500</v>
      </c>
      <c r="N598" s="1">
        <f t="shared" si="544"/>
        <v>500</v>
      </c>
      <c r="O598" s="1"/>
      <c r="Q598" s="1">
        <f t="shared" si="591"/>
        <v>500</v>
      </c>
      <c r="T598" s="1">
        <f t="shared" si="592"/>
        <v>500</v>
      </c>
      <c r="U598" s="1">
        <v>500</v>
      </c>
      <c r="V598" s="1">
        <f t="shared" si="593"/>
        <v>0</v>
      </c>
      <c r="W598" s="1">
        <f t="shared" si="594"/>
        <v>500</v>
      </c>
      <c r="X598" s="1">
        <v>500</v>
      </c>
      <c r="Y598" s="41">
        <f t="shared" si="576"/>
        <v>0</v>
      </c>
      <c r="Z598" s="1">
        <f>W598+Y598</f>
        <v>500</v>
      </c>
      <c r="AA598" s="1">
        <v>500</v>
      </c>
      <c r="AB598" s="1">
        <f t="shared" si="573"/>
        <v>0</v>
      </c>
      <c r="AC598" s="1">
        <f t="shared" si="595"/>
        <v>500</v>
      </c>
      <c r="AD598" s="41">
        <v>500</v>
      </c>
      <c r="AE598" s="1">
        <f t="shared" si="596"/>
        <v>0</v>
      </c>
      <c r="AF598" s="1">
        <f t="shared" si="532"/>
        <v>500</v>
      </c>
    </row>
    <row r="599" spans="1:32" outlineLevel="2">
      <c r="A599" s="11">
        <v>41000</v>
      </c>
      <c r="B599" s="11">
        <v>23120</v>
      </c>
      <c r="C599" s="11" t="s">
        <v>403</v>
      </c>
      <c r="D599" s="7">
        <v>400</v>
      </c>
      <c r="E599" s="7"/>
      <c r="F599" s="7">
        <f t="shared" si="555"/>
        <v>400</v>
      </c>
      <c r="G599" s="7"/>
      <c r="H599" s="7">
        <f t="shared" si="582"/>
        <v>400</v>
      </c>
      <c r="I599" s="1"/>
      <c r="J599" s="1">
        <f t="shared" si="581"/>
        <v>400</v>
      </c>
      <c r="K599" s="1"/>
      <c r="L599" s="1">
        <f t="shared" si="590"/>
        <v>400</v>
      </c>
      <c r="N599" s="1">
        <f t="shared" si="544"/>
        <v>400</v>
      </c>
      <c r="O599" s="1"/>
      <c r="Q599" s="1">
        <f t="shared" si="591"/>
        <v>400</v>
      </c>
      <c r="T599" s="1">
        <f t="shared" si="592"/>
        <v>400</v>
      </c>
      <c r="U599" s="1">
        <v>400</v>
      </c>
      <c r="V599" s="1">
        <f t="shared" si="593"/>
        <v>0</v>
      </c>
      <c r="W599" s="1">
        <f t="shared" si="594"/>
        <v>400</v>
      </c>
      <c r="X599" s="1">
        <v>400</v>
      </c>
      <c r="Y599" s="41">
        <f t="shared" si="576"/>
        <v>0</v>
      </c>
      <c r="Z599" s="1">
        <f>W599+Y599</f>
        <v>400</v>
      </c>
      <c r="AA599" s="1">
        <v>400</v>
      </c>
      <c r="AB599" s="1">
        <f t="shared" si="573"/>
        <v>0</v>
      </c>
      <c r="AC599" s="1">
        <f t="shared" si="595"/>
        <v>400</v>
      </c>
      <c r="AD599" s="41">
        <v>400</v>
      </c>
      <c r="AE599" s="1">
        <f t="shared" si="596"/>
        <v>0</v>
      </c>
      <c r="AF599" s="1">
        <f t="shared" ref="AF599:AF617" si="597">AC599+AE599</f>
        <v>400</v>
      </c>
    </row>
    <row r="600" spans="1:32" s="2" customFormat="1" outlineLevel="1">
      <c r="A600" s="9" t="s">
        <v>19</v>
      </c>
      <c r="B600" s="9"/>
      <c r="C600" s="9" t="s">
        <v>792</v>
      </c>
      <c r="D600" s="8">
        <f t="shared" ref="D600:AE600" si="598">SUBTOTAL(9,D595:D599)</f>
        <v>7100</v>
      </c>
      <c r="E600" s="8">
        <f t="shared" si="598"/>
        <v>0</v>
      </c>
      <c r="F600" s="8">
        <f t="shared" si="598"/>
        <v>7100</v>
      </c>
      <c r="G600" s="8">
        <f t="shared" si="598"/>
        <v>0</v>
      </c>
      <c r="H600" s="8">
        <f t="shared" si="598"/>
        <v>7100</v>
      </c>
      <c r="I600" s="8">
        <f t="shared" si="598"/>
        <v>0</v>
      </c>
      <c r="J600" s="8">
        <f t="shared" si="598"/>
        <v>7100</v>
      </c>
      <c r="K600" s="8">
        <f t="shared" si="598"/>
        <v>0</v>
      </c>
      <c r="L600" s="8">
        <f t="shared" si="598"/>
        <v>7100</v>
      </c>
      <c r="M600" s="8">
        <f t="shared" si="598"/>
        <v>0</v>
      </c>
      <c r="N600" s="8">
        <f t="shared" si="598"/>
        <v>7100</v>
      </c>
      <c r="O600" s="8">
        <f t="shared" si="598"/>
        <v>0</v>
      </c>
      <c r="P600" s="8">
        <f t="shared" si="598"/>
        <v>0</v>
      </c>
      <c r="Q600" s="8">
        <f t="shared" si="598"/>
        <v>7100</v>
      </c>
      <c r="R600" s="3"/>
      <c r="S600" s="8">
        <f t="shared" si="598"/>
        <v>0</v>
      </c>
      <c r="T600" s="8">
        <f t="shared" si="598"/>
        <v>7100</v>
      </c>
      <c r="U600" s="8">
        <f t="shared" si="598"/>
        <v>12000</v>
      </c>
      <c r="V600" s="8">
        <f t="shared" si="598"/>
        <v>4900</v>
      </c>
      <c r="W600" s="8">
        <f t="shared" si="598"/>
        <v>12000</v>
      </c>
      <c r="X600" s="8">
        <f t="shared" si="598"/>
        <v>20900</v>
      </c>
      <c r="Y600" s="8">
        <f t="shared" si="598"/>
        <v>8900</v>
      </c>
      <c r="Z600" s="8">
        <f t="shared" si="598"/>
        <v>20900</v>
      </c>
      <c r="AA600" s="8">
        <f t="shared" si="598"/>
        <v>35900</v>
      </c>
      <c r="AB600" s="8">
        <f t="shared" si="598"/>
        <v>15000</v>
      </c>
      <c r="AC600" s="8">
        <f t="shared" si="598"/>
        <v>35900</v>
      </c>
      <c r="AD600" s="8">
        <f t="shared" si="598"/>
        <v>35900</v>
      </c>
      <c r="AE600" s="8">
        <f t="shared" si="598"/>
        <v>0</v>
      </c>
      <c r="AF600" s="3">
        <f t="shared" si="597"/>
        <v>35900</v>
      </c>
    </row>
    <row r="601" spans="1:32" outlineLevel="2">
      <c r="A601" s="11">
        <v>43000</v>
      </c>
      <c r="B601" s="11">
        <v>22602</v>
      </c>
      <c r="C601" s="11" t="s">
        <v>506</v>
      </c>
      <c r="D601" s="7">
        <v>5600</v>
      </c>
      <c r="E601" s="7"/>
      <c r="F601" s="7">
        <f t="shared" si="555"/>
        <v>5600</v>
      </c>
      <c r="G601" s="7">
        <v>-1600</v>
      </c>
      <c r="H601" s="7">
        <f t="shared" ref="H601:H655" si="599">D601+G601</f>
        <v>4000</v>
      </c>
      <c r="I601" s="1"/>
      <c r="J601" s="1">
        <f t="shared" si="581"/>
        <v>4000</v>
      </c>
      <c r="K601" s="1"/>
      <c r="L601" s="1">
        <f t="shared" ref="L601:L605" si="600">H601+K601</f>
        <v>4000</v>
      </c>
      <c r="M601" s="8"/>
      <c r="N601" s="1">
        <f t="shared" si="544"/>
        <v>4000</v>
      </c>
      <c r="O601" s="1"/>
      <c r="Q601" s="1">
        <f t="shared" ref="Q601:Q615" si="601">N601+P601</f>
        <v>4000</v>
      </c>
      <c r="T601" s="1">
        <f t="shared" ref="T601:U615" si="602">Q601+S601</f>
        <v>4000</v>
      </c>
      <c r="U601" s="1">
        <v>15000</v>
      </c>
      <c r="V601" s="1">
        <f t="shared" ref="V601:V617" si="603">U601-T601</f>
        <v>11000</v>
      </c>
      <c r="W601" s="1">
        <f t="shared" ref="W601:W617" si="604">T601+V601</f>
        <v>15000</v>
      </c>
      <c r="X601" s="41">
        <v>0</v>
      </c>
      <c r="Y601" s="41">
        <f t="shared" si="576"/>
        <v>-15000</v>
      </c>
      <c r="Z601" s="1">
        <f t="shared" ref="Z601:Z605" si="605">W601+Y601</f>
        <v>0</v>
      </c>
      <c r="AA601" s="1">
        <v>0</v>
      </c>
      <c r="AB601" s="41">
        <f>AA601-Z601</f>
        <v>0</v>
      </c>
      <c r="AC601" s="1">
        <f t="shared" ref="AC601:AC605" si="606">Z601+AB601</f>
        <v>0</v>
      </c>
      <c r="AD601" s="41">
        <v>2400</v>
      </c>
      <c r="AE601" s="1">
        <f t="shared" ref="AE601:AE605" si="607">AD601-AC601</f>
        <v>2400</v>
      </c>
      <c r="AF601" s="1">
        <f t="shared" si="597"/>
        <v>2400</v>
      </c>
    </row>
    <row r="602" spans="1:32" outlineLevel="2">
      <c r="A602" s="11">
        <v>43000</v>
      </c>
      <c r="B602" s="11">
        <v>22606</v>
      </c>
      <c r="C602" s="11" t="s">
        <v>665</v>
      </c>
      <c r="D602" s="7">
        <v>7200</v>
      </c>
      <c r="E602" s="7"/>
      <c r="F602" s="7">
        <f t="shared" si="555"/>
        <v>7200</v>
      </c>
      <c r="G602" s="7">
        <v>-1200</v>
      </c>
      <c r="H602" s="7">
        <f t="shared" si="599"/>
        <v>6000</v>
      </c>
      <c r="I602" s="1"/>
      <c r="J602" s="1">
        <f t="shared" si="581"/>
        <v>6000</v>
      </c>
      <c r="K602" s="1"/>
      <c r="L602" s="1">
        <f t="shared" si="600"/>
        <v>6000</v>
      </c>
      <c r="M602" s="8"/>
      <c r="N602" s="1">
        <f t="shared" si="544"/>
        <v>6000</v>
      </c>
      <c r="O602" s="1"/>
      <c r="P602" s="1">
        <v>50000</v>
      </c>
      <c r="Q602" s="1">
        <f t="shared" si="601"/>
        <v>56000</v>
      </c>
      <c r="S602" s="1">
        <v>-4000</v>
      </c>
      <c r="T602" s="1">
        <f t="shared" si="602"/>
        <v>52000</v>
      </c>
      <c r="U602" s="1">
        <f t="shared" si="602"/>
        <v>52000</v>
      </c>
      <c r="V602" s="1">
        <f t="shared" si="603"/>
        <v>0</v>
      </c>
      <c r="W602" s="1">
        <f t="shared" si="604"/>
        <v>52000</v>
      </c>
      <c r="X602" s="1">
        <v>52000</v>
      </c>
      <c r="Y602" s="41">
        <f t="shared" si="576"/>
        <v>0</v>
      </c>
      <c r="Z602" s="1">
        <f t="shared" si="605"/>
        <v>52000</v>
      </c>
      <c r="AA602" s="1">
        <v>75000</v>
      </c>
      <c r="AB602" s="41">
        <f t="shared" ref="AB602:AB682" si="608">AA602-Z602</f>
        <v>23000</v>
      </c>
      <c r="AC602" s="1">
        <f t="shared" si="606"/>
        <v>75000</v>
      </c>
      <c r="AD602" s="41">
        <v>68000</v>
      </c>
      <c r="AE602" s="1">
        <f t="shared" si="607"/>
        <v>-7000</v>
      </c>
      <c r="AF602" s="1">
        <f t="shared" si="597"/>
        <v>68000</v>
      </c>
    </row>
    <row r="603" spans="1:32" outlineLevel="2">
      <c r="A603" s="11">
        <v>43000</v>
      </c>
      <c r="B603" s="11">
        <v>22699</v>
      </c>
      <c r="C603" s="11" t="s">
        <v>507</v>
      </c>
      <c r="D603" s="7">
        <v>12375</v>
      </c>
      <c r="E603" s="7"/>
      <c r="F603" s="7">
        <f t="shared" si="555"/>
        <v>12375</v>
      </c>
      <c r="G603" s="7"/>
      <c r="H603" s="7">
        <f t="shared" si="599"/>
        <v>12375</v>
      </c>
      <c r="I603" s="1"/>
      <c r="J603" s="1">
        <f t="shared" si="581"/>
        <v>12375</v>
      </c>
      <c r="K603" s="1"/>
      <c r="L603" s="1">
        <f t="shared" si="600"/>
        <v>12375</v>
      </c>
      <c r="M603" s="8"/>
      <c r="N603" s="1">
        <f t="shared" si="544"/>
        <v>12375</v>
      </c>
      <c r="O603" s="1"/>
      <c r="Q603" s="1">
        <f t="shared" si="601"/>
        <v>12375</v>
      </c>
      <c r="T603" s="1">
        <f t="shared" si="602"/>
        <v>12375</v>
      </c>
      <c r="U603" s="1">
        <f t="shared" si="602"/>
        <v>12375</v>
      </c>
      <c r="V603" s="1">
        <f t="shared" si="603"/>
        <v>0</v>
      </c>
      <c r="W603" s="1">
        <f t="shared" si="604"/>
        <v>12375</v>
      </c>
      <c r="X603" s="1">
        <v>12375</v>
      </c>
      <c r="Y603" s="41">
        <f t="shared" si="576"/>
        <v>0</v>
      </c>
      <c r="Z603" s="1">
        <f t="shared" si="605"/>
        <v>12375</v>
      </c>
      <c r="AA603" s="1">
        <v>2000</v>
      </c>
      <c r="AB603" s="41">
        <f t="shared" si="608"/>
        <v>-10375</v>
      </c>
      <c r="AC603" s="1">
        <f t="shared" si="606"/>
        <v>2000</v>
      </c>
      <c r="AD603" s="41">
        <v>8000</v>
      </c>
      <c r="AE603" s="1">
        <f t="shared" si="607"/>
        <v>6000</v>
      </c>
      <c r="AF603" s="1">
        <f t="shared" si="597"/>
        <v>8000</v>
      </c>
    </row>
    <row r="604" spans="1:32" outlineLevel="2">
      <c r="A604" s="11">
        <v>43000</v>
      </c>
      <c r="B604" s="11">
        <v>22706</v>
      </c>
      <c r="C604" s="11" t="s">
        <v>508</v>
      </c>
      <c r="D604" s="7">
        <v>7200</v>
      </c>
      <c r="E604" s="7"/>
      <c r="F604" s="7">
        <f t="shared" si="555"/>
        <v>7200</v>
      </c>
      <c r="G604" s="7"/>
      <c r="H604" s="7">
        <f t="shared" si="599"/>
        <v>7200</v>
      </c>
      <c r="I604" s="1"/>
      <c r="J604" s="1">
        <f t="shared" si="581"/>
        <v>7200</v>
      </c>
      <c r="K604" s="1"/>
      <c r="L604" s="1">
        <f t="shared" si="600"/>
        <v>7200</v>
      </c>
      <c r="M604" s="8"/>
      <c r="N604" s="1">
        <f>L604+M604</f>
        <v>7200</v>
      </c>
      <c r="O604" s="1"/>
      <c r="Q604" s="1">
        <f t="shared" si="601"/>
        <v>7200</v>
      </c>
      <c r="T604" s="1">
        <f t="shared" si="602"/>
        <v>7200</v>
      </c>
      <c r="U604" s="1">
        <f t="shared" si="602"/>
        <v>7200</v>
      </c>
      <c r="V604" s="1">
        <f t="shared" si="603"/>
        <v>0</v>
      </c>
      <c r="W604" s="1">
        <f t="shared" si="604"/>
        <v>7200</v>
      </c>
      <c r="X604" s="1">
        <v>7200</v>
      </c>
      <c r="Y604" s="41">
        <f t="shared" si="576"/>
        <v>0</v>
      </c>
      <c r="Z604" s="1">
        <f t="shared" si="605"/>
        <v>7200</v>
      </c>
      <c r="AA604" s="1">
        <v>0</v>
      </c>
      <c r="AB604" s="41">
        <f t="shared" si="608"/>
        <v>-7200</v>
      </c>
      <c r="AC604" s="1">
        <f t="shared" si="606"/>
        <v>0</v>
      </c>
      <c r="AD604" s="41">
        <v>1000</v>
      </c>
      <c r="AE604" s="1">
        <f t="shared" si="607"/>
        <v>1000</v>
      </c>
      <c r="AF604" s="1">
        <f t="shared" si="597"/>
        <v>1000</v>
      </c>
    </row>
    <row r="605" spans="1:32" outlineLevel="2">
      <c r="A605" s="11">
        <v>43000</v>
      </c>
      <c r="B605" s="11">
        <v>48100</v>
      </c>
      <c r="C605" s="11" t="s">
        <v>509</v>
      </c>
      <c r="D605" s="7">
        <v>4000</v>
      </c>
      <c r="E605" s="7"/>
      <c r="F605" s="7">
        <f t="shared" si="555"/>
        <v>4000</v>
      </c>
      <c r="G605" s="7"/>
      <c r="H605" s="7">
        <f t="shared" si="599"/>
        <v>4000</v>
      </c>
      <c r="I605" s="1"/>
      <c r="J605" s="1">
        <f t="shared" si="581"/>
        <v>4000</v>
      </c>
      <c r="K605" s="1"/>
      <c r="L605" s="1">
        <f t="shared" si="600"/>
        <v>4000</v>
      </c>
      <c r="M605" s="10">
        <v>-2000</v>
      </c>
      <c r="N605" s="1">
        <f>L605+M605</f>
        <v>2000</v>
      </c>
      <c r="O605" s="1"/>
      <c r="Q605" s="1">
        <f t="shared" si="601"/>
        <v>2000</v>
      </c>
      <c r="T605" s="1">
        <f t="shared" si="602"/>
        <v>2000</v>
      </c>
      <c r="U605" s="1">
        <f t="shared" si="602"/>
        <v>2000</v>
      </c>
      <c r="V605" s="1">
        <f t="shared" si="603"/>
        <v>0</v>
      </c>
      <c r="W605" s="1">
        <f t="shared" si="604"/>
        <v>2000</v>
      </c>
      <c r="X605" s="1">
        <v>2000</v>
      </c>
      <c r="Y605" s="41">
        <f t="shared" si="576"/>
        <v>0</v>
      </c>
      <c r="Z605" s="1">
        <f t="shared" si="605"/>
        <v>2000</v>
      </c>
      <c r="AA605" s="1">
        <v>2000</v>
      </c>
      <c r="AB605" s="41">
        <f t="shared" si="608"/>
        <v>0</v>
      </c>
      <c r="AC605" s="1">
        <f t="shared" si="606"/>
        <v>2000</v>
      </c>
      <c r="AD605" s="41">
        <v>2000</v>
      </c>
      <c r="AE605" s="1">
        <f t="shared" si="607"/>
        <v>0</v>
      </c>
      <c r="AF605" s="1">
        <f t="shared" si="597"/>
        <v>2000</v>
      </c>
    </row>
    <row r="606" spans="1:32" outlineLevel="2">
      <c r="A606" s="9" t="s">
        <v>722</v>
      </c>
      <c r="B606" s="9"/>
      <c r="C606" s="9" t="s">
        <v>723</v>
      </c>
      <c r="D606" s="8">
        <f t="shared" ref="D606:K606" si="609">SUBTOTAL(9,D594:D599)</f>
        <v>7100</v>
      </c>
      <c r="E606" s="8">
        <f t="shared" si="609"/>
        <v>0</v>
      </c>
      <c r="F606" s="8">
        <f t="shared" si="609"/>
        <v>7100</v>
      </c>
      <c r="G606" s="8">
        <f t="shared" si="609"/>
        <v>0</v>
      </c>
      <c r="H606" s="8">
        <f t="shared" si="609"/>
        <v>7100</v>
      </c>
      <c r="I606" s="8">
        <f t="shared" si="609"/>
        <v>0</v>
      </c>
      <c r="J606" s="8">
        <f t="shared" si="609"/>
        <v>7100</v>
      </c>
      <c r="K606" s="8">
        <f t="shared" si="609"/>
        <v>0</v>
      </c>
      <c r="L606" s="8">
        <f t="shared" ref="L606:Q606" si="610">SUBTOTAL(9,L594:L605)</f>
        <v>40675</v>
      </c>
      <c r="M606" s="8">
        <f t="shared" si="610"/>
        <v>-2000</v>
      </c>
      <c r="N606" s="8">
        <f t="shared" si="610"/>
        <v>38675</v>
      </c>
      <c r="O606" s="8">
        <f t="shared" si="610"/>
        <v>0</v>
      </c>
      <c r="P606" s="8">
        <f t="shared" si="610"/>
        <v>50000</v>
      </c>
      <c r="Q606" s="8">
        <f t="shared" si="610"/>
        <v>88675</v>
      </c>
      <c r="S606" s="8">
        <f>SUBTOTAL(9,S594:S605)</f>
        <v>-4000</v>
      </c>
      <c r="T606" s="8">
        <f t="shared" ref="T606:AE606" si="611">SUBTOTAL(9,T601:T605)</f>
        <v>77575</v>
      </c>
      <c r="U606" s="8">
        <f t="shared" si="611"/>
        <v>88575</v>
      </c>
      <c r="V606" s="8">
        <f t="shared" si="611"/>
        <v>11000</v>
      </c>
      <c r="W606" s="8">
        <f t="shared" si="611"/>
        <v>88575</v>
      </c>
      <c r="X606" s="8">
        <f t="shared" si="611"/>
        <v>73575</v>
      </c>
      <c r="Y606" s="8">
        <f t="shared" si="611"/>
        <v>-15000</v>
      </c>
      <c r="Z606" s="8">
        <f t="shared" si="611"/>
        <v>73575</v>
      </c>
      <c r="AA606" s="8">
        <f t="shared" si="611"/>
        <v>79000</v>
      </c>
      <c r="AB606" s="8">
        <f t="shared" si="611"/>
        <v>5425</v>
      </c>
      <c r="AC606" s="8">
        <f t="shared" si="611"/>
        <v>79000</v>
      </c>
      <c r="AD606" s="8">
        <f t="shared" si="611"/>
        <v>81400</v>
      </c>
      <c r="AE606" s="8">
        <f t="shared" si="611"/>
        <v>2400</v>
      </c>
      <c r="AF606" s="3">
        <f t="shared" si="597"/>
        <v>81400</v>
      </c>
    </row>
    <row r="607" spans="1:32" outlineLevel="2">
      <c r="A607" s="11">
        <v>43120</v>
      </c>
      <c r="B607" s="11">
        <v>12004</v>
      </c>
      <c r="C607" s="11" t="s">
        <v>161</v>
      </c>
      <c r="D607" s="7">
        <v>0</v>
      </c>
      <c r="E607" s="7">
        <v>10417.9</v>
      </c>
      <c r="F607" s="7">
        <f t="shared" ref="F607:F615" si="612">D607-E607</f>
        <v>-10417.9</v>
      </c>
      <c r="G607" s="7">
        <v>10417.9</v>
      </c>
      <c r="H607" s="7">
        <f t="shared" ref="H607:H615" si="613">D607+G607</f>
        <v>10417.9</v>
      </c>
      <c r="I607" s="10">
        <v>9775.01</v>
      </c>
      <c r="J607" s="10">
        <f t="shared" si="581"/>
        <v>642.88999999999942</v>
      </c>
      <c r="K607" s="10">
        <v>-642.89</v>
      </c>
      <c r="L607" s="7">
        <v>9775.01</v>
      </c>
      <c r="M607" s="10">
        <f>8378.58-L607</f>
        <v>-1396.4300000000003</v>
      </c>
      <c r="N607" s="7">
        <f t="shared" ref="N607:N615" si="614">L607+M607</f>
        <v>8378.58</v>
      </c>
      <c r="O607" s="7">
        <v>8378.58</v>
      </c>
      <c r="P607" s="1">
        <f>O607-N607</f>
        <v>0</v>
      </c>
      <c r="Q607" s="1">
        <f t="shared" si="601"/>
        <v>8378.58</v>
      </c>
      <c r="R607" s="1">
        <v>8378.58</v>
      </c>
      <c r="S607" s="1">
        <f>R607-Q607</f>
        <v>0</v>
      </c>
      <c r="T607" s="1">
        <f t="shared" si="602"/>
        <v>8378.58</v>
      </c>
      <c r="U607" s="1">
        <v>8378.58</v>
      </c>
      <c r="V607" s="1">
        <f t="shared" si="603"/>
        <v>0</v>
      </c>
      <c r="W607" s="1">
        <f t="shared" si="604"/>
        <v>8378.58</v>
      </c>
      <c r="X607" s="1">
        <v>9242.83</v>
      </c>
      <c r="Y607" s="41">
        <f t="shared" si="576"/>
        <v>864.25</v>
      </c>
      <c r="Z607" s="1">
        <f t="shared" ref="Z607:Z617" si="615">W607+Y607</f>
        <v>9242.83</v>
      </c>
      <c r="AA607" s="1">
        <v>17094.16</v>
      </c>
      <c r="AB607" s="41">
        <f t="shared" si="608"/>
        <v>7851.33</v>
      </c>
      <c r="AC607" s="1">
        <f t="shared" ref="AC607:AC617" si="616">Z607+AB607</f>
        <v>17094.16</v>
      </c>
      <c r="AD607" s="41">
        <v>17350.78</v>
      </c>
      <c r="AE607" s="1">
        <f t="shared" ref="AE607:AE617" si="617">AD607-AC607</f>
        <v>256.61999999999898</v>
      </c>
      <c r="AF607" s="1">
        <f t="shared" si="597"/>
        <v>17350.78</v>
      </c>
    </row>
    <row r="608" spans="1:32" outlineLevel="2">
      <c r="A608" s="11">
        <v>43120</v>
      </c>
      <c r="B608" s="11">
        <v>12006</v>
      </c>
      <c r="C608" s="11" t="s">
        <v>81</v>
      </c>
      <c r="D608" s="7">
        <v>0</v>
      </c>
      <c r="E608" s="7">
        <v>4026.27</v>
      </c>
      <c r="F608" s="7">
        <f t="shared" si="612"/>
        <v>-4026.27</v>
      </c>
      <c r="G608" s="7">
        <v>4026.27</v>
      </c>
      <c r="H608" s="7">
        <f t="shared" si="613"/>
        <v>4026.27</v>
      </c>
      <c r="I608" s="10">
        <v>2506</v>
      </c>
      <c r="J608" s="10">
        <f t="shared" si="581"/>
        <v>1520.27</v>
      </c>
      <c r="K608" s="10">
        <v>-1520.27</v>
      </c>
      <c r="L608" s="7">
        <v>2506</v>
      </c>
      <c r="M608" s="10">
        <v>0</v>
      </c>
      <c r="N608" s="7">
        <f t="shared" si="614"/>
        <v>2506</v>
      </c>
      <c r="O608" s="7">
        <v>2506</v>
      </c>
      <c r="P608" s="1">
        <f>O608-N608</f>
        <v>0</v>
      </c>
      <c r="Q608" s="1">
        <f t="shared" si="601"/>
        <v>2506</v>
      </c>
      <c r="R608" s="1">
        <v>2595.5</v>
      </c>
      <c r="S608" s="1">
        <f>R608-Q608</f>
        <v>89.5</v>
      </c>
      <c r="T608" s="1">
        <f t="shared" si="602"/>
        <v>2595.5</v>
      </c>
      <c r="U608" s="1">
        <v>2756.6</v>
      </c>
      <c r="V608" s="1">
        <f t="shared" si="603"/>
        <v>161.09999999999991</v>
      </c>
      <c r="W608" s="1">
        <f t="shared" si="604"/>
        <v>2756.6</v>
      </c>
      <c r="X608" s="1">
        <v>2784.17</v>
      </c>
      <c r="Y608" s="41">
        <f t="shared" si="576"/>
        <v>27.570000000000164</v>
      </c>
      <c r="Z608" s="1">
        <f t="shared" si="615"/>
        <v>2784.17</v>
      </c>
      <c r="AA608" s="1">
        <v>5459.98</v>
      </c>
      <c r="AB608" s="41">
        <f t="shared" si="608"/>
        <v>2675.8099999999995</v>
      </c>
      <c r="AC608" s="1">
        <f t="shared" si="616"/>
        <v>5459.98</v>
      </c>
      <c r="AD608" s="41">
        <v>5915.55</v>
      </c>
      <c r="AE608" s="1">
        <f t="shared" si="617"/>
        <v>455.57000000000062</v>
      </c>
      <c r="AF608" s="1">
        <f t="shared" si="597"/>
        <v>5915.55</v>
      </c>
    </row>
    <row r="609" spans="1:32" outlineLevel="2">
      <c r="A609" s="11">
        <v>43120</v>
      </c>
      <c r="B609" s="11">
        <v>12100</v>
      </c>
      <c r="C609" s="11" t="s">
        <v>162</v>
      </c>
      <c r="D609" s="7">
        <v>0</v>
      </c>
      <c r="E609" s="7">
        <v>7704.44</v>
      </c>
      <c r="F609" s="7">
        <f t="shared" si="612"/>
        <v>-7704.44</v>
      </c>
      <c r="G609" s="7">
        <v>7704.44</v>
      </c>
      <c r="H609" s="7">
        <f t="shared" si="613"/>
        <v>7704.44</v>
      </c>
      <c r="I609" s="10">
        <v>5348.19</v>
      </c>
      <c r="J609" s="10">
        <f t="shared" si="581"/>
        <v>2356.25</v>
      </c>
      <c r="K609" s="10">
        <v>-2356.25</v>
      </c>
      <c r="L609" s="7">
        <v>5348.19</v>
      </c>
      <c r="M609" s="10">
        <f>4584.16-L609</f>
        <v>-764.02999999999975</v>
      </c>
      <c r="N609" s="7">
        <f t="shared" si="614"/>
        <v>4584.16</v>
      </c>
      <c r="O609" s="7">
        <v>4584.16</v>
      </c>
      <c r="P609" s="1">
        <f>O609-N609</f>
        <v>0</v>
      </c>
      <c r="Q609" s="1">
        <f t="shared" si="601"/>
        <v>4584.16</v>
      </c>
      <c r="R609" s="1">
        <v>4584.16</v>
      </c>
      <c r="S609" s="1">
        <f>R609-Q609</f>
        <v>0</v>
      </c>
      <c r="T609" s="1">
        <f t="shared" si="602"/>
        <v>4584.16</v>
      </c>
      <c r="U609" s="1">
        <v>4584.16</v>
      </c>
      <c r="V609" s="1">
        <f t="shared" si="603"/>
        <v>0</v>
      </c>
      <c r="W609" s="1">
        <f t="shared" si="604"/>
        <v>4584.16</v>
      </c>
      <c r="X609" s="1">
        <v>4630</v>
      </c>
      <c r="Y609" s="41">
        <f t="shared" si="576"/>
        <v>45.840000000000146</v>
      </c>
      <c r="Z609" s="1">
        <f t="shared" si="615"/>
        <v>4630</v>
      </c>
      <c r="AA609" s="1">
        <v>9352.76</v>
      </c>
      <c r="AB609" s="41">
        <f t="shared" si="608"/>
        <v>4722.76</v>
      </c>
      <c r="AC609" s="1">
        <f t="shared" si="616"/>
        <v>9352.76</v>
      </c>
      <c r="AD609" s="41">
        <v>9493.14</v>
      </c>
      <c r="AE609" s="1">
        <f t="shared" si="617"/>
        <v>140.3799999999992</v>
      </c>
      <c r="AF609" s="1">
        <f t="shared" si="597"/>
        <v>9493.14</v>
      </c>
    </row>
    <row r="610" spans="1:32" outlineLevel="2">
      <c r="A610" s="11">
        <v>43120</v>
      </c>
      <c r="B610" s="11">
        <v>12101</v>
      </c>
      <c r="C610" s="11" t="s">
        <v>163</v>
      </c>
      <c r="D610" s="7">
        <v>0</v>
      </c>
      <c r="E610" s="7">
        <v>9464.66</v>
      </c>
      <c r="F610" s="7">
        <f t="shared" si="612"/>
        <v>-9464.66</v>
      </c>
      <c r="G610" s="7">
        <v>9464.66</v>
      </c>
      <c r="H610" s="7">
        <f t="shared" si="613"/>
        <v>9464.66</v>
      </c>
      <c r="I610" s="10">
        <v>6971.21</v>
      </c>
      <c r="J610" s="10">
        <f t="shared" si="581"/>
        <v>2493.4499999999998</v>
      </c>
      <c r="K610" s="10">
        <v>-2493.4499999999998</v>
      </c>
      <c r="L610" s="7">
        <v>6971.21</v>
      </c>
      <c r="M610" s="10">
        <f>6045.06-L610</f>
        <v>-926.14999999999964</v>
      </c>
      <c r="N610" s="7">
        <f t="shared" si="614"/>
        <v>6045.06</v>
      </c>
      <c r="O610" s="7">
        <v>6045.06</v>
      </c>
      <c r="P610" s="1">
        <f>O610-N610</f>
        <v>0</v>
      </c>
      <c r="Q610" s="1">
        <f t="shared" si="601"/>
        <v>6045.06</v>
      </c>
      <c r="R610" s="1">
        <v>6045.06</v>
      </c>
      <c r="S610" s="1">
        <f>R610-Q610</f>
        <v>0</v>
      </c>
      <c r="T610" s="1">
        <f t="shared" si="602"/>
        <v>6045.06</v>
      </c>
      <c r="U610" s="1">
        <v>6045.06</v>
      </c>
      <c r="V610" s="1">
        <f t="shared" si="603"/>
        <v>0</v>
      </c>
      <c r="W610" s="1">
        <f t="shared" si="604"/>
        <v>6045.06</v>
      </c>
      <c r="X610" s="1">
        <v>6105.51</v>
      </c>
      <c r="Y610" s="41">
        <f t="shared" si="576"/>
        <v>60.449999999999818</v>
      </c>
      <c r="Z610" s="1">
        <f t="shared" si="615"/>
        <v>6105.51</v>
      </c>
      <c r="AA610" s="1">
        <v>20800.3</v>
      </c>
      <c r="AB610" s="41">
        <f t="shared" si="608"/>
        <v>14694.789999999999</v>
      </c>
      <c r="AC610" s="1">
        <f t="shared" si="616"/>
        <v>20800.3</v>
      </c>
      <c r="AD610" s="41">
        <v>17804.509999999998</v>
      </c>
      <c r="AE610" s="1">
        <f t="shared" si="617"/>
        <v>-2995.7900000000009</v>
      </c>
      <c r="AF610" s="1">
        <f t="shared" si="597"/>
        <v>17804.509999999998</v>
      </c>
    </row>
    <row r="611" spans="1:32" outlineLevel="2">
      <c r="A611" s="11">
        <v>43120</v>
      </c>
      <c r="B611" s="59">
        <v>16000</v>
      </c>
      <c r="C611" s="55" t="s">
        <v>757</v>
      </c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>
        <v>0</v>
      </c>
      <c r="U611" s="53"/>
      <c r="V611" s="53">
        <f t="shared" si="603"/>
        <v>0</v>
      </c>
      <c r="W611" s="53">
        <f t="shared" si="604"/>
        <v>0</v>
      </c>
      <c r="X611" s="1">
        <v>0</v>
      </c>
      <c r="Y611" s="41">
        <f t="shared" si="576"/>
        <v>0</v>
      </c>
      <c r="Z611" s="1">
        <f t="shared" si="615"/>
        <v>0</v>
      </c>
      <c r="AA611" s="1">
        <v>0</v>
      </c>
      <c r="AB611" s="41">
        <f t="shared" si="608"/>
        <v>0</v>
      </c>
      <c r="AC611" s="1">
        <f t="shared" si="616"/>
        <v>0</v>
      </c>
      <c r="AD611" s="41">
        <v>14762.42</v>
      </c>
      <c r="AE611" s="1">
        <f t="shared" si="617"/>
        <v>14762.42</v>
      </c>
      <c r="AF611" s="1">
        <f t="shared" si="597"/>
        <v>14762.42</v>
      </c>
    </row>
    <row r="612" spans="1:32" outlineLevel="2">
      <c r="A612" s="11">
        <v>43120</v>
      </c>
      <c r="B612" s="11">
        <v>21200</v>
      </c>
      <c r="C612" s="11" t="s">
        <v>90</v>
      </c>
      <c r="D612" s="7">
        <v>36000</v>
      </c>
      <c r="E612" s="8"/>
      <c r="F612" s="7">
        <f t="shared" si="612"/>
        <v>36000</v>
      </c>
      <c r="G612" s="10">
        <v>-6000</v>
      </c>
      <c r="H612" s="7">
        <f t="shared" si="613"/>
        <v>30000</v>
      </c>
      <c r="I612" s="8"/>
      <c r="J612" s="7">
        <f t="shared" si="581"/>
        <v>30000</v>
      </c>
      <c r="K612" s="8"/>
      <c r="L612" s="7">
        <v>30000</v>
      </c>
      <c r="M612" s="10">
        <v>0</v>
      </c>
      <c r="N612" s="7">
        <f t="shared" si="614"/>
        <v>30000</v>
      </c>
      <c r="O612" s="7"/>
      <c r="Q612" s="1">
        <f t="shared" si="601"/>
        <v>30000</v>
      </c>
      <c r="T612" s="1">
        <f t="shared" si="602"/>
        <v>30000</v>
      </c>
      <c r="U612" s="1">
        <f t="shared" si="602"/>
        <v>30000</v>
      </c>
      <c r="V612" s="1">
        <f t="shared" si="603"/>
        <v>0</v>
      </c>
      <c r="W612" s="1">
        <f t="shared" si="604"/>
        <v>30000</v>
      </c>
      <c r="X612" s="1">
        <v>45000</v>
      </c>
      <c r="Y612" s="41">
        <f t="shared" si="576"/>
        <v>15000</v>
      </c>
      <c r="Z612" s="1">
        <f t="shared" si="615"/>
        <v>45000</v>
      </c>
      <c r="AA612" s="1">
        <v>45000</v>
      </c>
      <c r="AB612" s="41">
        <f t="shared" si="608"/>
        <v>0</v>
      </c>
      <c r="AC612" s="1">
        <f t="shared" si="616"/>
        <v>45000</v>
      </c>
      <c r="AD612" s="41">
        <v>15000</v>
      </c>
      <c r="AE612" s="1">
        <f t="shared" si="617"/>
        <v>-30000</v>
      </c>
      <c r="AF612" s="1">
        <f t="shared" si="597"/>
        <v>15000</v>
      </c>
    </row>
    <row r="613" spans="1:32" outlineLevel="2">
      <c r="A613" s="11">
        <v>43120</v>
      </c>
      <c r="B613" s="11">
        <v>21300</v>
      </c>
      <c r="C613" s="11" t="s">
        <v>505</v>
      </c>
      <c r="D613" s="7">
        <v>1100</v>
      </c>
      <c r="E613" s="8"/>
      <c r="F613" s="7">
        <f t="shared" si="612"/>
        <v>1100</v>
      </c>
      <c r="G613" s="10"/>
      <c r="H613" s="7">
        <f t="shared" si="613"/>
        <v>1100</v>
      </c>
      <c r="I613" s="8"/>
      <c r="J613" s="7">
        <f t="shared" si="581"/>
        <v>1100</v>
      </c>
      <c r="K613" s="8"/>
      <c r="L613" s="7">
        <v>1100</v>
      </c>
      <c r="M613" s="10">
        <v>0</v>
      </c>
      <c r="N613" s="7">
        <f t="shared" si="614"/>
        <v>1100</v>
      </c>
      <c r="O613" s="7"/>
      <c r="Q613" s="1">
        <f t="shared" si="601"/>
        <v>1100</v>
      </c>
      <c r="T613" s="1">
        <f t="shared" si="602"/>
        <v>1100</v>
      </c>
      <c r="U613" s="1">
        <f t="shared" si="602"/>
        <v>1100</v>
      </c>
      <c r="V613" s="1">
        <f t="shared" si="603"/>
        <v>0</v>
      </c>
      <c r="W613" s="1">
        <f t="shared" si="604"/>
        <v>1100</v>
      </c>
      <c r="X613" s="1">
        <v>1000</v>
      </c>
      <c r="Y613" s="41">
        <f t="shared" si="576"/>
        <v>-100</v>
      </c>
      <c r="Z613" s="1">
        <f t="shared" si="615"/>
        <v>1000</v>
      </c>
      <c r="AA613" s="1">
        <v>1000</v>
      </c>
      <c r="AB613" s="41">
        <f t="shared" si="608"/>
        <v>0</v>
      </c>
      <c r="AC613" s="1">
        <f t="shared" si="616"/>
        <v>1000</v>
      </c>
      <c r="AD613" s="41">
        <v>10000</v>
      </c>
      <c r="AE613" s="1">
        <f t="shared" si="617"/>
        <v>9000</v>
      </c>
      <c r="AF613" s="1">
        <f t="shared" si="597"/>
        <v>10000</v>
      </c>
    </row>
    <row r="614" spans="1:32" outlineLevel="2">
      <c r="A614" s="11">
        <v>43120</v>
      </c>
      <c r="B614" s="11">
        <v>22602</v>
      </c>
      <c r="C614" s="39" t="s">
        <v>910</v>
      </c>
      <c r="D614" s="7"/>
      <c r="E614" s="8"/>
      <c r="F614" s="7"/>
      <c r="G614" s="10"/>
      <c r="H614" s="7"/>
      <c r="I614" s="8"/>
      <c r="J614" s="7"/>
      <c r="K614" s="8"/>
      <c r="L614" s="7"/>
      <c r="M614" s="10"/>
      <c r="N614" s="7"/>
      <c r="O614" s="7"/>
      <c r="T614" s="1"/>
      <c r="V614" s="1"/>
      <c r="W614" s="1"/>
      <c r="Y614" s="41"/>
      <c r="Z614" s="1"/>
      <c r="AB614" s="41"/>
      <c r="AC614" s="1">
        <v>0</v>
      </c>
      <c r="AD614" s="41">
        <v>10000</v>
      </c>
      <c r="AE614" s="1">
        <f t="shared" ref="AE614" si="618">AD614-AC614</f>
        <v>10000</v>
      </c>
      <c r="AF614" s="1">
        <f t="shared" ref="AF614" si="619">AC614+AE614</f>
        <v>10000</v>
      </c>
    </row>
    <row r="615" spans="1:32" outlineLevel="2">
      <c r="A615" s="11">
        <v>43120</v>
      </c>
      <c r="B615" s="11">
        <v>22699</v>
      </c>
      <c r="C615" s="11" t="s">
        <v>256</v>
      </c>
      <c r="D615" s="7">
        <v>1502.53</v>
      </c>
      <c r="E615" s="8"/>
      <c r="F615" s="7">
        <f t="shared" si="612"/>
        <v>1502.53</v>
      </c>
      <c r="G615" s="10">
        <v>-502.53</v>
      </c>
      <c r="H615" s="7">
        <f t="shared" si="613"/>
        <v>1000</v>
      </c>
      <c r="I615" s="8"/>
      <c r="J615" s="7">
        <f t="shared" si="581"/>
        <v>1000</v>
      </c>
      <c r="K615" s="8"/>
      <c r="L615" s="7">
        <v>1000</v>
      </c>
      <c r="M615" s="10">
        <v>0</v>
      </c>
      <c r="N615" s="7">
        <f t="shared" si="614"/>
        <v>1000</v>
      </c>
      <c r="O615" s="7"/>
      <c r="Q615" s="1">
        <f t="shared" si="601"/>
        <v>1000</v>
      </c>
      <c r="T615" s="1">
        <f t="shared" si="602"/>
        <v>1000</v>
      </c>
      <c r="U615" s="1">
        <v>10000</v>
      </c>
      <c r="V615" s="1">
        <f t="shared" si="603"/>
        <v>9000</v>
      </c>
      <c r="W615" s="1">
        <f t="shared" si="604"/>
        <v>10000</v>
      </c>
      <c r="X615" s="1">
        <v>10000</v>
      </c>
      <c r="Y615" s="41">
        <f t="shared" si="576"/>
        <v>0</v>
      </c>
      <c r="Z615" s="1">
        <f t="shared" si="615"/>
        <v>10000</v>
      </c>
      <c r="AA615" s="1">
        <v>10000</v>
      </c>
      <c r="AB615" s="41">
        <f t="shared" si="608"/>
        <v>0</v>
      </c>
      <c r="AC615" s="1">
        <f t="shared" si="616"/>
        <v>10000</v>
      </c>
      <c r="AD615" s="41">
        <v>10000</v>
      </c>
      <c r="AE615" s="1">
        <f t="shared" si="617"/>
        <v>0</v>
      </c>
      <c r="AF615" s="1">
        <f t="shared" si="597"/>
        <v>10000</v>
      </c>
    </row>
    <row r="616" spans="1:32" outlineLevel="2">
      <c r="A616" s="11">
        <v>43120</v>
      </c>
      <c r="B616" s="11">
        <v>63900</v>
      </c>
      <c r="C616" s="39" t="s">
        <v>847</v>
      </c>
      <c r="D616" s="7"/>
      <c r="E616" s="8"/>
      <c r="F616" s="7"/>
      <c r="G616" s="10"/>
      <c r="H616" s="7"/>
      <c r="I616" s="8"/>
      <c r="J616" s="7"/>
      <c r="K616" s="8"/>
      <c r="L616" s="7"/>
      <c r="M616" s="10"/>
      <c r="N616" s="7"/>
      <c r="O616" s="7"/>
      <c r="T616" s="1"/>
      <c r="V616" s="1"/>
      <c r="W616" s="1"/>
      <c r="Y616" s="41"/>
      <c r="Z616" s="1">
        <v>0</v>
      </c>
      <c r="AA616" s="1">
        <v>50000</v>
      </c>
      <c r="AB616" s="41">
        <f t="shared" si="608"/>
        <v>50000</v>
      </c>
      <c r="AC616" s="1">
        <f t="shared" si="616"/>
        <v>50000</v>
      </c>
      <c r="AD616" s="41">
        <f>40100+32000</f>
        <v>72100</v>
      </c>
      <c r="AE616" s="1">
        <f t="shared" si="617"/>
        <v>22100</v>
      </c>
      <c r="AF616" s="1">
        <f t="shared" si="597"/>
        <v>72100</v>
      </c>
    </row>
    <row r="617" spans="1:32" outlineLevel="2">
      <c r="A617" s="11">
        <v>43120</v>
      </c>
      <c r="B617" s="11">
        <v>75500</v>
      </c>
      <c r="C617" s="39" t="s">
        <v>731</v>
      </c>
      <c r="D617" s="7"/>
      <c r="E617" s="8"/>
      <c r="F617" s="7"/>
      <c r="G617" s="10"/>
      <c r="H617" s="7"/>
      <c r="I617" s="8"/>
      <c r="J617" s="7"/>
      <c r="K617" s="8"/>
      <c r="L617" s="7"/>
      <c r="M617" s="10"/>
      <c r="N617" s="7"/>
      <c r="O617" s="7"/>
      <c r="T617" s="1">
        <v>0</v>
      </c>
      <c r="U617" s="1">
        <v>52500</v>
      </c>
      <c r="V617" s="1">
        <f t="shared" si="603"/>
        <v>52500</v>
      </c>
      <c r="W617" s="1">
        <f t="shared" si="604"/>
        <v>52500</v>
      </c>
      <c r="X617" s="1">
        <v>0</v>
      </c>
      <c r="Y617" s="41">
        <f t="shared" si="576"/>
        <v>-52500</v>
      </c>
      <c r="Z617" s="1">
        <f t="shared" si="615"/>
        <v>0</v>
      </c>
      <c r="AA617" s="1">
        <v>0</v>
      </c>
      <c r="AB617" s="41">
        <f t="shared" si="608"/>
        <v>0</v>
      </c>
      <c r="AC617" s="1">
        <f t="shared" si="616"/>
        <v>0</v>
      </c>
      <c r="AD617" s="41">
        <v>0</v>
      </c>
      <c r="AE617" s="1">
        <f t="shared" si="617"/>
        <v>0</v>
      </c>
      <c r="AF617" s="1">
        <f t="shared" si="597"/>
        <v>0</v>
      </c>
    </row>
    <row r="618" spans="1:32" outlineLevel="2">
      <c r="A618" s="9" t="s">
        <v>20</v>
      </c>
      <c r="B618" s="9"/>
      <c r="C618" s="9" t="s">
        <v>724</v>
      </c>
      <c r="D618" s="8">
        <f t="shared" ref="D618:K618" si="620">SUBTOTAL(9,D601:D605)</f>
        <v>36375</v>
      </c>
      <c r="E618" s="8">
        <f t="shared" si="620"/>
        <v>0</v>
      </c>
      <c r="F618" s="8">
        <f t="shared" si="620"/>
        <v>36375</v>
      </c>
      <c r="G618" s="8">
        <f t="shared" si="620"/>
        <v>-2800</v>
      </c>
      <c r="H618" s="8">
        <f t="shared" si="620"/>
        <v>33575</v>
      </c>
      <c r="I618" s="8">
        <f t="shared" si="620"/>
        <v>0</v>
      </c>
      <c r="J618" s="8">
        <f t="shared" si="620"/>
        <v>33575</v>
      </c>
      <c r="K618" s="8">
        <f t="shared" si="620"/>
        <v>0</v>
      </c>
      <c r="L618" s="8">
        <f t="shared" ref="L618:S618" si="621">SUBTOTAL(9,L601:L615)</f>
        <v>90275.41</v>
      </c>
      <c r="M618" s="8">
        <f t="shared" si="621"/>
        <v>-5086.6099999999997</v>
      </c>
      <c r="N618" s="8">
        <f t="shared" si="621"/>
        <v>85188.800000000003</v>
      </c>
      <c r="O618" s="8">
        <f t="shared" si="621"/>
        <v>21513.8</v>
      </c>
      <c r="P618" s="8">
        <f t="shared" si="621"/>
        <v>50000</v>
      </c>
      <c r="Q618" s="8">
        <f t="shared" si="621"/>
        <v>135188.79999999999</v>
      </c>
      <c r="S618" s="8">
        <f t="shared" si="621"/>
        <v>-3910.5</v>
      </c>
      <c r="T618" s="8">
        <f>SUBTOTAL(9,T607:T617)</f>
        <v>53703.3</v>
      </c>
      <c r="U618" s="8">
        <f t="shared" ref="U618:AF618" si="622">SUBTOTAL(9,U607:U617)</f>
        <v>115364.4</v>
      </c>
      <c r="V618" s="8">
        <f t="shared" si="622"/>
        <v>61661.1</v>
      </c>
      <c r="W618" s="8">
        <f t="shared" si="622"/>
        <v>115364.4</v>
      </c>
      <c r="X618" s="8">
        <f t="shared" si="622"/>
        <v>78762.510000000009</v>
      </c>
      <c r="Y618" s="8">
        <f t="shared" si="622"/>
        <v>-36601.89</v>
      </c>
      <c r="Z618" s="8">
        <f t="shared" si="622"/>
        <v>78762.510000000009</v>
      </c>
      <c r="AA618" s="8">
        <f t="shared" si="622"/>
        <v>158707.20000000001</v>
      </c>
      <c r="AB618" s="8">
        <f t="shared" si="622"/>
        <v>79944.69</v>
      </c>
      <c r="AC618" s="8">
        <f t="shared" si="622"/>
        <v>158707.20000000001</v>
      </c>
      <c r="AD618" s="8">
        <f t="shared" si="622"/>
        <v>182426.4</v>
      </c>
      <c r="AE618" s="8">
        <f t="shared" si="622"/>
        <v>23719.199999999997</v>
      </c>
      <c r="AF618" s="8">
        <f t="shared" si="622"/>
        <v>182426.4</v>
      </c>
    </row>
    <row r="619" spans="1:32" outlineLevel="2">
      <c r="A619" s="13">
        <v>43200</v>
      </c>
      <c r="B619" s="11">
        <v>12001</v>
      </c>
      <c r="C619" s="11" t="s">
        <v>179</v>
      </c>
      <c r="D619" s="7">
        <v>0</v>
      </c>
      <c r="E619" s="7">
        <v>32437.19</v>
      </c>
      <c r="F619" s="7">
        <f t="shared" ref="F619:F655" si="623">D619-E619</f>
        <v>-32437.19</v>
      </c>
      <c r="G619" s="7">
        <v>32437.19</v>
      </c>
      <c r="H619" s="7">
        <f t="shared" ref="H619:H624" si="624">D619+G619</f>
        <v>32437.19</v>
      </c>
      <c r="I619" s="16">
        <v>25813.040000000001</v>
      </c>
      <c r="J619" s="16">
        <f t="shared" si="581"/>
        <v>6624.1499999999978</v>
      </c>
      <c r="K619" s="16">
        <v>-6624.15</v>
      </c>
      <c r="L619" s="1">
        <f t="shared" ref="L619:L655" si="625">H619+K619</f>
        <v>25813.040000000001</v>
      </c>
      <c r="M619" s="7">
        <v>0</v>
      </c>
      <c r="N619" s="1">
        <f t="shared" ref="N619:N655" si="626">L619+M619</f>
        <v>25813.040000000001</v>
      </c>
      <c r="O619" s="1">
        <v>25813.040000000001</v>
      </c>
      <c r="P619" s="1">
        <f t="shared" ref="P619:P626" si="627">O619-N619</f>
        <v>0</v>
      </c>
      <c r="Q619" s="1">
        <f t="shared" ref="Q619:Q655" si="628">N619+P619</f>
        <v>25813.040000000001</v>
      </c>
      <c r="R619" s="1">
        <v>25813.040000000001</v>
      </c>
      <c r="S619" s="1">
        <f t="shared" ref="S619:S626" si="629">R619-Q619</f>
        <v>0</v>
      </c>
      <c r="T619" s="1">
        <f t="shared" ref="T619:U655" si="630">Q619+S619</f>
        <v>25813.040000000001</v>
      </c>
      <c r="U619" s="1">
        <v>25813.040000000001</v>
      </c>
      <c r="V619" s="1">
        <f t="shared" ref="V619:V655" si="631">U619-T619</f>
        <v>0</v>
      </c>
      <c r="W619" s="1">
        <f t="shared" ref="W619:W655" si="632">T619+V619</f>
        <v>25813.040000000001</v>
      </c>
      <c r="X619" s="1">
        <v>28368.16</v>
      </c>
      <c r="Y619" s="41">
        <f t="shared" si="576"/>
        <v>2555.119999999999</v>
      </c>
      <c r="Z619" s="1">
        <f t="shared" ref="Z619:Z655" si="633">W619+Y619</f>
        <v>28368.16</v>
      </c>
      <c r="AA619" s="1">
        <v>26331.9</v>
      </c>
      <c r="AB619" s="41">
        <f t="shared" si="608"/>
        <v>-2036.2599999999984</v>
      </c>
      <c r="AC619" s="1">
        <f t="shared" ref="AC619:AC671" si="634">Z619+AB619</f>
        <v>26331.9</v>
      </c>
      <c r="AD619" s="41">
        <v>26727</v>
      </c>
      <c r="AE619" s="1">
        <f t="shared" ref="AE619:AE655" si="635">AD619-AC619</f>
        <v>395.09999999999854</v>
      </c>
      <c r="AF619" s="1">
        <f t="shared" ref="AF619:AF655" si="636">AC619+AE619</f>
        <v>26727</v>
      </c>
    </row>
    <row r="620" spans="1:32" outlineLevel="2">
      <c r="A620" s="13">
        <v>43200</v>
      </c>
      <c r="B620" s="11">
        <v>12003</v>
      </c>
      <c r="C620" s="11" t="s">
        <v>180</v>
      </c>
      <c r="D620" s="7">
        <v>0</v>
      </c>
      <c r="E620" s="7">
        <v>12329.98</v>
      </c>
      <c r="F620" s="7">
        <f t="shared" si="623"/>
        <v>-12329.98</v>
      </c>
      <c r="G620" s="7">
        <v>12329.98</v>
      </c>
      <c r="H620" s="7">
        <f t="shared" si="624"/>
        <v>12329.98</v>
      </c>
      <c r="I620" s="16">
        <v>9884.84</v>
      </c>
      <c r="J620" s="16">
        <f t="shared" si="581"/>
        <v>2445.1399999999994</v>
      </c>
      <c r="K620" s="16">
        <v>-2445.14</v>
      </c>
      <c r="L620" s="1">
        <f t="shared" si="625"/>
        <v>9884.84</v>
      </c>
      <c r="M620" s="7">
        <v>0</v>
      </c>
      <c r="N620" s="1">
        <f t="shared" si="626"/>
        <v>9884.84</v>
      </c>
      <c r="O620" s="1">
        <v>9884.84</v>
      </c>
      <c r="P620" s="1">
        <f t="shared" si="627"/>
        <v>0</v>
      </c>
      <c r="Q620" s="1">
        <f t="shared" si="628"/>
        <v>9884.84</v>
      </c>
      <c r="R620" s="1">
        <v>9884.84</v>
      </c>
      <c r="S620" s="1">
        <f t="shared" si="629"/>
        <v>0</v>
      </c>
      <c r="T620" s="1">
        <f t="shared" si="630"/>
        <v>9884.84</v>
      </c>
      <c r="U620" s="1">
        <v>9884.84</v>
      </c>
      <c r="V620" s="1">
        <f t="shared" si="631"/>
        <v>0</v>
      </c>
      <c r="W620" s="1">
        <f t="shared" si="632"/>
        <v>9884.84</v>
      </c>
      <c r="X620" s="1">
        <v>10809.47</v>
      </c>
      <c r="Y620" s="41">
        <f t="shared" si="576"/>
        <v>924.6299999999992</v>
      </c>
      <c r="Z620" s="1">
        <f t="shared" si="633"/>
        <v>10809.47</v>
      </c>
      <c r="AA620" s="1">
        <v>10083.65</v>
      </c>
      <c r="AB620" s="41">
        <f t="shared" si="608"/>
        <v>-725.81999999999971</v>
      </c>
      <c r="AC620" s="1">
        <f t="shared" si="634"/>
        <v>10083.65</v>
      </c>
      <c r="AD620" s="41">
        <v>20469.8</v>
      </c>
      <c r="AE620" s="1">
        <f t="shared" si="635"/>
        <v>10386.15</v>
      </c>
      <c r="AF620" s="1">
        <f t="shared" si="636"/>
        <v>20469.8</v>
      </c>
    </row>
    <row r="621" spans="1:32" outlineLevel="2">
      <c r="A621" s="13">
        <v>43200</v>
      </c>
      <c r="B621" s="11">
        <v>12004</v>
      </c>
      <c r="C621" s="11" t="s">
        <v>181</v>
      </c>
      <c r="D621" s="7">
        <v>0</v>
      </c>
      <c r="E621" s="7">
        <v>30853.03</v>
      </c>
      <c r="F621" s="7">
        <f t="shared" si="623"/>
        <v>-30853.03</v>
      </c>
      <c r="G621" s="7">
        <v>30853.03</v>
      </c>
      <c r="H621" s="7">
        <f t="shared" si="624"/>
        <v>30853.03</v>
      </c>
      <c r="I621" s="16">
        <v>60046.49</v>
      </c>
      <c r="J621" s="16">
        <f t="shared" si="581"/>
        <v>-29193.46</v>
      </c>
      <c r="K621" s="16">
        <v>29193.46</v>
      </c>
      <c r="L621" s="1">
        <f t="shared" si="625"/>
        <v>60046.49</v>
      </c>
      <c r="M621" s="7">
        <f>58650.06-L621</f>
        <v>-1396.4300000000003</v>
      </c>
      <c r="N621" s="1">
        <f t="shared" si="626"/>
        <v>58650.06</v>
      </c>
      <c r="O621" s="1">
        <v>58650.06</v>
      </c>
      <c r="P621" s="1">
        <f t="shared" si="627"/>
        <v>0</v>
      </c>
      <c r="Q621" s="1">
        <f t="shared" si="628"/>
        <v>58650.06</v>
      </c>
      <c r="R621" s="1">
        <v>58650.06</v>
      </c>
      <c r="S621" s="1">
        <f t="shared" si="629"/>
        <v>0</v>
      </c>
      <c r="T621" s="1">
        <f t="shared" si="630"/>
        <v>58650.06</v>
      </c>
      <c r="U621" s="1">
        <v>67028.639999999999</v>
      </c>
      <c r="V621" s="1">
        <f t="shared" si="631"/>
        <v>8378.5800000000017</v>
      </c>
      <c r="W621" s="1">
        <f t="shared" si="632"/>
        <v>67028.639999999999</v>
      </c>
      <c r="X621" s="1">
        <v>63758.99</v>
      </c>
      <c r="Y621" s="41">
        <f t="shared" si="576"/>
        <v>-3269.6500000000015</v>
      </c>
      <c r="Z621" s="1">
        <f t="shared" si="633"/>
        <v>63758.99</v>
      </c>
      <c r="AA621" s="1">
        <v>59829.56</v>
      </c>
      <c r="AB621" s="41">
        <f t="shared" si="608"/>
        <v>-3929.4300000000003</v>
      </c>
      <c r="AC621" s="1">
        <f t="shared" si="634"/>
        <v>59829.56</v>
      </c>
      <c r="AD621" s="41">
        <v>60727.73</v>
      </c>
      <c r="AE621" s="1">
        <f t="shared" si="635"/>
        <v>898.17000000000553</v>
      </c>
      <c r="AF621" s="1">
        <f t="shared" si="636"/>
        <v>60727.73</v>
      </c>
    </row>
    <row r="622" spans="1:32" s="2" customFormat="1" outlineLevel="1">
      <c r="A622" s="13">
        <v>43200</v>
      </c>
      <c r="B622" s="11">
        <v>12006</v>
      </c>
      <c r="C622" s="11" t="s">
        <v>81</v>
      </c>
      <c r="D622" s="7">
        <v>0</v>
      </c>
      <c r="E622" s="7">
        <v>8469.58</v>
      </c>
      <c r="F622" s="7">
        <f>D622-E622</f>
        <v>-8469.58</v>
      </c>
      <c r="G622" s="7">
        <v>8469.58</v>
      </c>
      <c r="H622" s="7">
        <f>D622+G622</f>
        <v>8469.58</v>
      </c>
      <c r="I622" s="16">
        <v>9712.17</v>
      </c>
      <c r="J622" s="16">
        <f t="shared" si="581"/>
        <v>-1242.5900000000001</v>
      </c>
      <c r="K622" s="16">
        <v>1242.5899999999999</v>
      </c>
      <c r="L622" s="1">
        <f t="shared" si="625"/>
        <v>9712.17</v>
      </c>
      <c r="M622" s="7">
        <f>10409.24-L622</f>
        <v>697.06999999999971</v>
      </c>
      <c r="N622" s="1">
        <f t="shared" si="626"/>
        <v>10409.24</v>
      </c>
      <c r="O622" s="1">
        <v>10995.82</v>
      </c>
      <c r="P622" s="1">
        <f t="shared" si="627"/>
        <v>586.57999999999993</v>
      </c>
      <c r="Q622" s="1">
        <f t="shared" si="628"/>
        <v>10995.82</v>
      </c>
      <c r="R622" s="41">
        <v>12469.25</v>
      </c>
      <c r="S622" s="1">
        <f t="shared" si="629"/>
        <v>1473.4300000000003</v>
      </c>
      <c r="T622" s="1">
        <f t="shared" si="630"/>
        <v>12469.25</v>
      </c>
      <c r="U622" s="41">
        <v>13755.94</v>
      </c>
      <c r="V622" s="1">
        <f t="shared" si="631"/>
        <v>1286.6900000000005</v>
      </c>
      <c r="W622" s="1">
        <f t="shared" si="632"/>
        <v>13755.94</v>
      </c>
      <c r="X622" s="41">
        <v>13979.72</v>
      </c>
      <c r="Y622" s="41">
        <f t="shared" si="576"/>
        <v>223.77999999999884</v>
      </c>
      <c r="Z622" s="1">
        <f t="shared" si="633"/>
        <v>13979.72</v>
      </c>
      <c r="AA622" s="41">
        <v>14893.31</v>
      </c>
      <c r="AB622" s="41">
        <f t="shared" si="608"/>
        <v>913.59000000000015</v>
      </c>
      <c r="AC622" s="1">
        <f t="shared" si="634"/>
        <v>14893.31</v>
      </c>
      <c r="AD622" s="41">
        <v>15898.78</v>
      </c>
      <c r="AE622" s="1">
        <f t="shared" si="635"/>
        <v>1005.4700000000012</v>
      </c>
      <c r="AF622" s="1">
        <f t="shared" si="636"/>
        <v>15898.78</v>
      </c>
    </row>
    <row r="623" spans="1:32" s="2" customFormat="1" outlineLevel="1">
      <c r="A623" s="13">
        <v>43200</v>
      </c>
      <c r="B623" s="11">
        <v>12100</v>
      </c>
      <c r="C623" s="11" t="s">
        <v>182</v>
      </c>
      <c r="D623" s="7">
        <v>86105.63</v>
      </c>
      <c r="E623" s="7">
        <v>30987.4</v>
      </c>
      <c r="F623" s="7">
        <f t="shared" si="623"/>
        <v>55118.23</v>
      </c>
      <c r="G623" s="7">
        <v>-55118.23</v>
      </c>
      <c r="H623" s="7">
        <f t="shared" si="624"/>
        <v>30987.4</v>
      </c>
      <c r="I623" s="16">
        <v>56447.040000000001</v>
      </c>
      <c r="J623" s="16">
        <f t="shared" si="581"/>
        <v>-25459.64</v>
      </c>
      <c r="K623" s="16">
        <v>25459.64</v>
      </c>
      <c r="L623" s="1">
        <f t="shared" si="625"/>
        <v>56447.040000000001</v>
      </c>
      <c r="M623" s="7">
        <f>55630.54-L623</f>
        <v>-816.5</v>
      </c>
      <c r="N623" s="1">
        <f t="shared" si="626"/>
        <v>55630.54</v>
      </c>
      <c r="O623" s="1">
        <v>55630.54</v>
      </c>
      <c r="P623" s="1">
        <f t="shared" si="627"/>
        <v>0</v>
      </c>
      <c r="Q623" s="1">
        <f t="shared" si="628"/>
        <v>55630.54</v>
      </c>
      <c r="R623" s="41">
        <v>55630.54</v>
      </c>
      <c r="S623" s="1">
        <f t="shared" si="629"/>
        <v>0</v>
      </c>
      <c r="T623" s="1">
        <f t="shared" si="630"/>
        <v>55630.54</v>
      </c>
      <c r="U623" s="41">
        <v>60529.760000000002</v>
      </c>
      <c r="V623" s="1">
        <f t="shared" si="631"/>
        <v>4899.2200000000012</v>
      </c>
      <c r="W623" s="1">
        <f t="shared" si="632"/>
        <v>60529.760000000002</v>
      </c>
      <c r="X623" s="41">
        <v>56186.85</v>
      </c>
      <c r="Y623" s="41">
        <f t="shared" si="576"/>
        <v>-4342.9100000000035</v>
      </c>
      <c r="Z623" s="1">
        <f t="shared" si="633"/>
        <v>56186.85</v>
      </c>
      <c r="AA623" s="41">
        <v>56748.9</v>
      </c>
      <c r="AB623" s="41">
        <f t="shared" si="608"/>
        <v>562.05000000000291</v>
      </c>
      <c r="AC623" s="1">
        <f t="shared" si="634"/>
        <v>56748.9</v>
      </c>
      <c r="AD623" s="41">
        <v>63323.54</v>
      </c>
      <c r="AE623" s="1">
        <f t="shared" si="635"/>
        <v>6574.6399999999994</v>
      </c>
      <c r="AF623" s="1">
        <f t="shared" si="636"/>
        <v>63323.54</v>
      </c>
    </row>
    <row r="624" spans="1:32" s="2" customFormat="1" outlineLevel="1">
      <c r="A624" s="13">
        <v>43200</v>
      </c>
      <c r="B624" s="11">
        <v>12101</v>
      </c>
      <c r="C624" s="11" t="s">
        <v>183</v>
      </c>
      <c r="D624" s="7">
        <v>0</v>
      </c>
      <c r="E624" s="7">
        <v>45082.86</v>
      </c>
      <c r="F624" s="7">
        <f t="shared" si="623"/>
        <v>-45082.86</v>
      </c>
      <c r="G624" s="7">
        <v>45082.86</v>
      </c>
      <c r="H624" s="7">
        <f t="shared" si="624"/>
        <v>45082.86</v>
      </c>
      <c r="I624" s="16">
        <v>80525.08</v>
      </c>
      <c r="J624" s="16">
        <f t="shared" si="581"/>
        <v>-35442.22</v>
      </c>
      <c r="K624" s="16">
        <v>35442.22</v>
      </c>
      <c r="L624" s="1">
        <f t="shared" si="625"/>
        <v>80525.08</v>
      </c>
      <c r="M624" s="7">
        <f>79361.38-L624</f>
        <v>-1163.6999999999971</v>
      </c>
      <c r="N624" s="1">
        <f t="shared" si="626"/>
        <v>79361.38</v>
      </c>
      <c r="O624" s="1">
        <v>79361.38</v>
      </c>
      <c r="P624" s="1">
        <f t="shared" si="627"/>
        <v>0</v>
      </c>
      <c r="Q624" s="1">
        <f t="shared" si="628"/>
        <v>79361.38</v>
      </c>
      <c r="R624" s="41">
        <v>79361.38</v>
      </c>
      <c r="S624" s="1">
        <f t="shared" si="629"/>
        <v>0</v>
      </c>
      <c r="T624" s="1">
        <f t="shared" si="630"/>
        <v>79361.38</v>
      </c>
      <c r="U624" s="41">
        <v>86343.6</v>
      </c>
      <c r="V624" s="1">
        <f t="shared" si="631"/>
        <v>6982.2200000000012</v>
      </c>
      <c r="W624" s="1">
        <f t="shared" si="632"/>
        <v>86343.6</v>
      </c>
      <c r="X624" s="41">
        <v>80154.98</v>
      </c>
      <c r="Y624" s="41">
        <f t="shared" si="576"/>
        <v>-6188.6200000000099</v>
      </c>
      <c r="Z624" s="1">
        <f t="shared" si="633"/>
        <v>80154.98</v>
      </c>
      <c r="AA624" s="41">
        <v>80956.72</v>
      </c>
      <c r="AB624" s="41">
        <f t="shared" si="608"/>
        <v>801.74000000000524</v>
      </c>
      <c r="AC624" s="1">
        <f t="shared" si="634"/>
        <v>80956.72</v>
      </c>
      <c r="AD624" s="41">
        <v>89540.5</v>
      </c>
      <c r="AE624" s="1">
        <f t="shared" si="635"/>
        <v>8583.7799999999988</v>
      </c>
      <c r="AF624" s="1">
        <f t="shared" si="636"/>
        <v>89540.5</v>
      </c>
    </row>
    <row r="625" spans="1:32" outlineLevel="2">
      <c r="A625" s="42">
        <v>43200</v>
      </c>
      <c r="B625" s="11">
        <v>15000</v>
      </c>
      <c r="C625" s="39" t="s">
        <v>387</v>
      </c>
      <c r="D625" s="7"/>
      <c r="E625" s="7"/>
      <c r="F625" s="7"/>
      <c r="G625" s="7"/>
      <c r="H625" s="7"/>
      <c r="I625" s="16"/>
      <c r="J625" s="16"/>
      <c r="K625" s="16"/>
      <c r="L625" s="1"/>
      <c r="N625" s="1"/>
      <c r="O625" s="1"/>
      <c r="Q625" s="1">
        <v>0</v>
      </c>
      <c r="R625" s="1">
        <v>2500</v>
      </c>
      <c r="S625" s="1">
        <f>R625-Q625</f>
        <v>2500</v>
      </c>
      <c r="T625" s="1">
        <f>Q625+S625</f>
        <v>2500</v>
      </c>
      <c r="U625" s="1">
        <v>2500</v>
      </c>
      <c r="V625" s="1">
        <f t="shared" si="631"/>
        <v>0</v>
      </c>
      <c r="W625" s="1">
        <f t="shared" si="632"/>
        <v>2500</v>
      </c>
      <c r="X625" s="1">
        <v>2000</v>
      </c>
      <c r="Y625" s="41">
        <f t="shared" si="576"/>
        <v>-500</v>
      </c>
      <c r="Z625" s="1">
        <f t="shared" si="633"/>
        <v>2000</v>
      </c>
      <c r="AA625" s="1">
        <v>2500</v>
      </c>
      <c r="AB625" s="41">
        <f t="shared" si="608"/>
        <v>500</v>
      </c>
      <c r="AC625" s="1">
        <f t="shared" si="634"/>
        <v>2500</v>
      </c>
      <c r="AD625" s="41">
        <v>2500</v>
      </c>
      <c r="AE625" s="1">
        <f t="shared" si="635"/>
        <v>0</v>
      </c>
      <c r="AF625" s="1">
        <f t="shared" si="636"/>
        <v>2500</v>
      </c>
    </row>
    <row r="626" spans="1:32" outlineLevel="2">
      <c r="A626" s="13">
        <v>43200</v>
      </c>
      <c r="B626" s="19">
        <v>15100</v>
      </c>
      <c r="C626" s="19" t="s">
        <v>513</v>
      </c>
      <c r="D626" s="20">
        <v>9500</v>
      </c>
      <c r="E626" s="20">
        <v>4000</v>
      </c>
      <c r="F626" s="20">
        <f t="shared" si="623"/>
        <v>5500</v>
      </c>
      <c r="G626" s="20">
        <v>-5500</v>
      </c>
      <c r="H626" s="20">
        <f t="shared" si="599"/>
        <v>4000</v>
      </c>
      <c r="I626" s="21">
        <v>4000</v>
      </c>
      <c r="J626" s="21">
        <f t="shared" si="581"/>
        <v>0</v>
      </c>
      <c r="K626" s="21">
        <v>0</v>
      </c>
      <c r="L626" s="21">
        <f t="shared" si="625"/>
        <v>4000</v>
      </c>
      <c r="M626" s="7">
        <v>-4000</v>
      </c>
      <c r="N626" s="1">
        <f t="shared" si="626"/>
        <v>0</v>
      </c>
      <c r="O626" s="1">
        <v>1000</v>
      </c>
      <c r="P626" s="1">
        <f t="shared" si="627"/>
        <v>1000</v>
      </c>
      <c r="Q626" s="1">
        <f t="shared" si="628"/>
        <v>1000</v>
      </c>
      <c r="S626" s="1">
        <f t="shared" si="629"/>
        <v>-1000</v>
      </c>
      <c r="T626" s="1">
        <f t="shared" si="630"/>
        <v>0</v>
      </c>
      <c r="U626" s="1">
        <v>0</v>
      </c>
      <c r="V626" s="1">
        <f t="shared" si="631"/>
        <v>0</v>
      </c>
      <c r="W626" s="1">
        <f t="shared" si="632"/>
        <v>0</v>
      </c>
      <c r="X626" s="1">
        <v>300</v>
      </c>
      <c r="Y626" s="41">
        <f t="shared" si="576"/>
        <v>300</v>
      </c>
      <c r="Z626" s="1">
        <f t="shared" si="633"/>
        <v>300</v>
      </c>
      <c r="AA626" s="1">
        <v>300</v>
      </c>
      <c r="AB626" s="41">
        <f t="shared" si="608"/>
        <v>0</v>
      </c>
      <c r="AC626" s="1">
        <f t="shared" si="634"/>
        <v>300</v>
      </c>
      <c r="AD626" s="41">
        <v>300</v>
      </c>
      <c r="AE626" s="1">
        <f t="shared" si="635"/>
        <v>0</v>
      </c>
      <c r="AF626" s="1">
        <f t="shared" si="636"/>
        <v>300</v>
      </c>
    </row>
    <row r="627" spans="1:32" outlineLevel="2">
      <c r="A627" s="11">
        <v>43200</v>
      </c>
      <c r="B627" s="59">
        <v>16000</v>
      </c>
      <c r="C627" s="55" t="s">
        <v>758</v>
      </c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>
        <v>0</v>
      </c>
      <c r="U627" s="53"/>
      <c r="V627" s="53">
        <f t="shared" si="631"/>
        <v>0</v>
      </c>
      <c r="W627" s="53">
        <f t="shared" si="632"/>
        <v>0</v>
      </c>
      <c r="X627" s="1">
        <v>0</v>
      </c>
      <c r="Y627" s="41">
        <f t="shared" si="576"/>
        <v>0</v>
      </c>
      <c r="Z627" s="1">
        <f t="shared" si="633"/>
        <v>0</v>
      </c>
      <c r="AA627" s="1">
        <v>0</v>
      </c>
      <c r="AB627" s="41">
        <f t="shared" si="608"/>
        <v>0</v>
      </c>
      <c r="AC627" s="1">
        <f t="shared" si="634"/>
        <v>0</v>
      </c>
      <c r="AD627" s="41">
        <v>74058.19</v>
      </c>
      <c r="AE627" s="1">
        <f t="shared" si="635"/>
        <v>74058.19</v>
      </c>
      <c r="AF627" s="1">
        <f t="shared" si="636"/>
        <v>74058.19</v>
      </c>
    </row>
    <row r="628" spans="1:32" outlineLevel="2">
      <c r="A628" s="13">
        <v>43200</v>
      </c>
      <c r="B628" s="11">
        <v>20300</v>
      </c>
      <c r="C628" s="11" t="s">
        <v>344</v>
      </c>
      <c r="D628" s="7">
        <v>3264</v>
      </c>
      <c r="E628" s="7"/>
      <c r="F628" s="7">
        <f t="shared" si="623"/>
        <v>3264</v>
      </c>
      <c r="G628" s="7"/>
      <c r="H628" s="7">
        <f t="shared" si="599"/>
        <v>3264</v>
      </c>
      <c r="I628" s="1"/>
      <c r="J628" s="1">
        <f t="shared" si="581"/>
        <v>3264</v>
      </c>
      <c r="K628" s="1"/>
      <c r="L628" s="1">
        <f t="shared" si="625"/>
        <v>3264</v>
      </c>
      <c r="N628" s="1">
        <f t="shared" si="626"/>
        <v>3264</v>
      </c>
      <c r="O628" s="1"/>
      <c r="Q628" s="1">
        <f t="shared" si="628"/>
        <v>3264</v>
      </c>
      <c r="T628" s="1">
        <f t="shared" si="630"/>
        <v>3264</v>
      </c>
      <c r="U628" s="1">
        <f t="shared" si="630"/>
        <v>3264</v>
      </c>
      <c r="V628" s="1">
        <f t="shared" si="631"/>
        <v>0</v>
      </c>
      <c r="W628" s="1">
        <f t="shared" si="632"/>
        <v>3264</v>
      </c>
      <c r="X628" s="1">
        <v>3260</v>
      </c>
      <c r="Y628" s="41">
        <f t="shared" si="576"/>
        <v>-4</v>
      </c>
      <c r="Z628" s="1">
        <f t="shared" si="633"/>
        <v>3260</v>
      </c>
      <c r="AA628" s="1">
        <v>5000</v>
      </c>
      <c r="AB628" s="41">
        <f t="shared" si="608"/>
        <v>1740</v>
      </c>
      <c r="AC628" s="1">
        <f t="shared" si="634"/>
        <v>5000</v>
      </c>
      <c r="AD628" s="41">
        <v>5000</v>
      </c>
      <c r="AE628" s="1">
        <f t="shared" si="635"/>
        <v>0</v>
      </c>
      <c r="AF628" s="1">
        <f t="shared" si="636"/>
        <v>5000</v>
      </c>
    </row>
    <row r="629" spans="1:32" outlineLevel="2">
      <c r="A629" s="42">
        <v>43200</v>
      </c>
      <c r="B629" s="11">
        <v>20900</v>
      </c>
      <c r="C629" s="39" t="s">
        <v>940</v>
      </c>
      <c r="D629" s="7"/>
      <c r="E629" s="7"/>
      <c r="F629" s="7"/>
      <c r="G629" s="7"/>
      <c r="H629" s="7"/>
      <c r="I629" s="1"/>
      <c r="J629" s="1"/>
      <c r="K629" s="1"/>
      <c r="L629" s="1"/>
      <c r="N629" s="1"/>
      <c r="O629" s="1"/>
      <c r="T629" s="1"/>
      <c r="V629" s="1"/>
      <c r="W629" s="1"/>
      <c r="Y629" s="41"/>
      <c r="Z629" s="1"/>
      <c r="AB629" s="41"/>
      <c r="AC629" s="1">
        <v>0</v>
      </c>
      <c r="AD629" s="41">
        <v>36186.58</v>
      </c>
      <c r="AE629" s="1">
        <f t="shared" ref="AE629" si="637">AD629-AC629</f>
        <v>36186.58</v>
      </c>
      <c r="AF629" s="1">
        <f t="shared" ref="AF629" si="638">AC629+AE629</f>
        <v>36186.58</v>
      </c>
    </row>
    <row r="630" spans="1:32" outlineLevel="2">
      <c r="A630" s="13">
        <v>43200</v>
      </c>
      <c r="B630" s="11">
        <v>21200</v>
      </c>
      <c r="C630" s="11" t="s">
        <v>514</v>
      </c>
      <c r="D630" s="7">
        <v>4904.26</v>
      </c>
      <c r="E630" s="7"/>
      <c r="F630" s="7">
        <f t="shared" si="623"/>
        <v>4904.26</v>
      </c>
      <c r="G630" s="7">
        <v>-1904.26</v>
      </c>
      <c r="H630" s="7">
        <f t="shared" si="599"/>
        <v>3000</v>
      </c>
      <c r="I630" s="1"/>
      <c r="J630" s="1">
        <f t="shared" si="581"/>
        <v>3000</v>
      </c>
      <c r="K630" s="1"/>
      <c r="L630" s="1">
        <f t="shared" si="625"/>
        <v>3000</v>
      </c>
      <c r="M630" s="7">
        <v>-3000</v>
      </c>
      <c r="N630" s="1">
        <f t="shared" si="626"/>
        <v>0</v>
      </c>
      <c r="O630" s="1"/>
      <c r="P630" s="1">
        <v>100000</v>
      </c>
      <c r="Q630" s="1">
        <f t="shared" si="628"/>
        <v>100000</v>
      </c>
      <c r="S630" s="1">
        <v>-100000</v>
      </c>
      <c r="T630" s="1">
        <f t="shared" si="630"/>
        <v>0</v>
      </c>
      <c r="U630" s="1">
        <f t="shared" si="630"/>
        <v>0</v>
      </c>
      <c r="V630" s="1">
        <f t="shared" si="631"/>
        <v>0</v>
      </c>
      <c r="W630" s="1">
        <f t="shared" si="632"/>
        <v>0</v>
      </c>
      <c r="X630" s="1">
        <v>0</v>
      </c>
      <c r="Y630" s="41">
        <f t="shared" ref="Y630:Y714" si="639">X630-W630</f>
        <v>0</v>
      </c>
      <c r="Z630" s="1">
        <f t="shared" si="633"/>
        <v>0</v>
      </c>
      <c r="AA630" s="1">
        <v>15000</v>
      </c>
      <c r="AB630" s="41">
        <f t="shared" si="608"/>
        <v>15000</v>
      </c>
      <c r="AC630" s="1">
        <f t="shared" si="634"/>
        <v>15000</v>
      </c>
      <c r="AD630" s="41">
        <v>0</v>
      </c>
      <c r="AE630" s="1">
        <f t="shared" si="635"/>
        <v>-15000</v>
      </c>
      <c r="AF630" s="1">
        <f t="shared" si="636"/>
        <v>0</v>
      </c>
    </row>
    <row r="631" spans="1:32" outlineLevel="2">
      <c r="A631" s="13">
        <v>43200</v>
      </c>
      <c r="B631" s="11">
        <v>21300</v>
      </c>
      <c r="C631" s="11" t="s">
        <v>515</v>
      </c>
      <c r="D631" s="7">
        <v>4904.26</v>
      </c>
      <c r="E631" s="7"/>
      <c r="F631" s="7">
        <f t="shared" si="623"/>
        <v>4904.26</v>
      </c>
      <c r="G631" s="7">
        <v>-1904.26</v>
      </c>
      <c r="H631" s="7">
        <f t="shared" si="599"/>
        <v>3000</v>
      </c>
      <c r="I631" s="1"/>
      <c r="J631" s="1">
        <f t="shared" si="581"/>
        <v>3000</v>
      </c>
      <c r="K631" s="1"/>
      <c r="L631" s="1">
        <f t="shared" si="625"/>
        <v>3000</v>
      </c>
      <c r="M631" s="7">
        <v>-1500</v>
      </c>
      <c r="N631" s="1">
        <f t="shared" si="626"/>
        <v>1500</v>
      </c>
      <c r="O631" s="1"/>
      <c r="Q631" s="1">
        <f t="shared" si="628"/>
        <v>1500</v>
      </c>
      <c r="T631" s="1">
        <f t="shared" si="630"/>
        <v>1500</v>
      </c>
      <c r="U631" s="1">
        <f t="shared" si="630"/>
        <v>1500</v>
      </c>
      <c r="V631" s="1">
        <f t="shared" si="631"/>
        <v>0</v>
      </c>
      <c r="W631" s="1">
        <f t="shared" si="632"/>
        <v>1500</v>
      </c>
      <c r="X631" s="1">
        <v>1500</v>
      </c>
      <c r="Y631" s="41">
        <f t="shared" si="639"/>
        <v>0</v>
      </c>
      <c r="Z631" s="1">
        <f t="shared" si="633"/>
        <v>1500</v>
      </c>
      <c r="AA631" s="1">
        <v>2000</v>
      </c>
      <c r="AB631" s="41">
        <f t="shared" si="608"/>
        <v>500</v>
      </c>
      <c r="AC631" s="1">
        <f t="shared" si="634"/>
        <v>2000</v>
      </c>
      <c r="AD631" s="41">
        <v>2000</v>
      </c>
      <c r="AE631" s="1">
        <f t="shared" si="635"/>
        <v>0</v>
      </c>
      <c r="AF631" s="1">
        <f t="shared" si="636"/>
        <v>2000</v>
      </c>
    </row>
    <row r="632" spans="1:32" outlineLevel="2">
      <c r="A632" s="13">
        <v>43200</v>
      </c>
      <c r="B632" s="11">
        <v>22000</v>
      </c>
      <c r="C632" s="11" t="s">
        <v>516</v>
      </c>
      <c r="D632" s="7">
        <v>2412</v>
      </c>
      <c r="E632" s="7"/>
      <c r="F632" s="7">
        <f t="shared" si="623"/>
        <v>2412</v>
      </c>
      <c r="G632" s="7">
        <v>-1412</v>
      </c>
      <c r="H632" s="7">
        <f t="shared" si="599"/>
        <v>1000</v>
      </c>
      <c r="I632" s="1"/>
      <c r="J632" s="1">
        <f t="shared" si="581"/>
        <v>1000</v>
      </c>
      <c r="K632" s="1"/>
      <c r="L632" s="1">
        <f t="shared" si="625"/>
        <v>1000</v>
      </c>
      <c r="N632" s="1">
        <f t="shared" si="626"/>
        <v>1000</v>
      </c>
      <c r="O632" s="1"/>
      <c r="Q632" s="1">
        <f t="shared" si="628"/>
        <v>1000</v>
      </c>
      <c r="T632" s="1">
        <f t="shared" si="630"/>
        <v>1000</v>
      </c>
      <c r="U632" s="1">
        <f t="shared" si="630"/>
        <v>1000</v>
      </c>
      <c r="V632" s="1">
        <f t="shared" si="631"/>
        <v>0</v>
      </c>
      <c r="W632" s="1">
        <f t="shared" si="632"/>
        <v>1000</v>
      </c>
      <c r="X632" s="1">
        <v>1000</v>
      </c>
      <c r="Y632" s="41">
        <f t="shared" si="639"/>
        <v>0</v>
      </c>
      <c r="Z632" s="1">
        <f t="shared" si="633"/>
        <v>1000</v>
      </c>
      <c r="AA632" s="1">
        <v>3000</v>
      </c>
      <c r="AB632" s="41">
        <f t="shared" si="608"/>
        <v>2000</v>
      </c>
      <c r="AC632" s="1">
        <f t="shared" si="634"/>
        <v>3000</v>
      </c>
      <c r="AD632" s="41">
        <v>3000</v>
      </c>
      <c r="AE632" s="1">
        <f t="shared" si="635"/>
        <v>0</v>
      </c>
      <c r="AF632" s="1">
        <f t="shared" si="636"/>
        <v>3000</v>
      </c>
    </row>
    <row r="633" spans="1:32" outlineLevel="2">
      <c r="A633" s="13">
        <v>43200</v>
      </c>
      <c r="B633" s="11">
        <v>22001</v>
      </c>
      <c r="C633" s="11" t="s">
        <v>517</v>
      </c>
      <c r="D633" s="7">
        <v>80000</v>
      </c>
      <c r="E633" s="7"/>
      <c r="F633" s="7">
        <f t="shared" si="623"/>
        <v>80000</v>
      </c>
      <c r="G633" s="7">
        <v>-10000</v>
      </c>
      <c r="H633" s="7">
        <f t="shared" si="599"/>
        <v>70000</v>
      </c>
      <c r="I633" s="1"/>
      <c r="J633" s="1">
        <f t="shared" si="581"/>
        <v>70000</v>
      </c>
      <c r="K633" s="1"/>
      <c r="L633" s="1">
        <f t="shared" si="625"/>
        <v>70000</v>
      </c>
      <c r="N633" s="1">
        <f t="shared" si="626"/>
        <v>70000</v>
      </c>
      <c r="O633" s="1"/>
      <c r="Q633" s="1">
        <f t="shared" si="628"/>
        <v>70000</v>
      </c>
      <c r="T633" s="1">
        <f t="shared" si="630"/>
        <v>70000</v>
      </c>
      <c r="U633" s="1">
        <f t="shared" si="630"/>
        <v>70000</v>
      </c>
      <c r="V633" s="1">
        <f t="shared" si="631"/>
        <v>0</v>
      </c>
      <c r="W633" s="1">
        <f t="shared" si="632"/>
        <v>70000</v>
      </c>
      <c r="X633" s="1">
        <v>0</v>
      </c>
      <c r="Y633" s="41">
        <f t="shared" si="639"/>
        <v>-70000</v>
      </c>
      <c r="Z633" s="1">
        <f t="shared" si="633"/>
        <v>0</v>
      </c>
      <c r="AA633" s="1">
        <v>25000</v>
      </c>
      <c r="AB633" s="41">
        <f t="shared" si="608"/>
        <v>25000</v>
      </c>
      <c r="AC633" s="1">
        <f t="shared" si="634"/>
        <v>25000</v>
      </c>
      <c r="AD633" s="41">
        <v>0</v>
      </c>
      <c r="AE633" s="1">
        <f t="shared" si="635"/>
        <v>-25000</v>
      </c>
      <c r="AF633" s="1">
        <f t="shared" si="636"/>
        <v>0</v>
      </c>
    </row>
    <row r="634" spans="1:32" outlineLevel="2">
      <c r="A634" s="13">
        <v>43200</v>
      </c>
      <c r="B634" s="11">
        <v>22104</v>
      </c>
      <c r="C634" s="11" t="s">
        <v>518</v>
      </c>
      <c r="D634" s="7">
        <v>2448</v>
      </c>
      <c r="E634" s="7"/>
      <c r="F634" s="7">
        <f t="shared" si="623"/>
        <v>2448</v>
      </c>
      <c r="G634" s="7">
        <v>-1448</v>
      </c>
      <c r="H634" s="7">
        <f t="shared" si="599"/>
        <v>1000</v>
      </c>
      <c r="I634" s="1"/>
      <c r="J634" s="1">
        <f t="shared" si="581"/>
        <v>1000</v>
      </c>
      <c r="K634" s="1"/>
      <c r="L634" s="1">
        <f t="shared" si="625"/>
        <v>1000</v>
      </c>
      <c r="M634" s="7">
        <v>-1000</v>
      </c>
      <c r="N634" s="1">
        <f t="shared" si="626"/>
        <v>0</v>
      </c>
      <c r="O634" s="1"/>
      <c r="P634" s="1">
        <v>2000</v>
      </c>
      <c r="Q634" s="1">
        <f t="shared" si="628"/>
        <v>2000</v>
      </c>
      <c r="T634" s="1">
        <f t="shared" si="630"/>
        <v>2000</v>
      </c>
      <c r="U634" s="1">
        <f t="shared" si="630"/>
        <v>2000</v>
      </c>
      <c r="V634" s="1">
        <f t="shared" si="631"/>
        <v>0</v>
      </c>
      <c r="W634" s="1">
        <f t="shared" si="632"/>
        <v>2000</v>
      </c>
      <c r="X634" s="1">
        <v>2000</v>
      </c>
      <c r="Y634" s="41">
        <f t="shared" si="639"/>
        <v>0</v>
      </c>
      <c r="Z634" s="1">
        <f t="shared" si="633"/>
        <v>2000</v>
      </c>
      <c r="AA634" s="1">
        <v>2000</v>
      </c>
      <c r="AB634" s="41">
        <f t="shared" si="608"/>
        <v>0</v>
      </c>
      <c r="AC634" s="1">
        <f t="shared" si="634"/>
        <v>2000</v>
      </c>
      <c r="AD634" s="41">
        <v>2000</v>
      </c>
      <c r="AE634" s="1">
        <f t="shared" si="635"/>
        <v>0</v>
      </c>
      <c r="AF634" s="1">
        <f t="shared" si="636"/>
        <v>2000</v>
      </c>
    </row>
    <row r="635" spans="1:32" outlineLevel="2">
      <c r="A635" s="13">
        <v>43200</v>
      </c>
      <c r="B635" s="11">
        <v>22199</v>
      </c>
      <c r="C635" s="11" t="s">
        <v>519</v>
      </c>
      <c r="D635" s="7">
        <v>14717.67</v>
      </c>
      <c r="E635" s="7"/>
      <c r="F635" s="7">
        <f t="shared" si="623"/>
        <v>14717.67</v>
      </c>
      <c r="G635" s="7">
        <v>-4717.67</v>
      </c>
      <c r="H635" s="7">
        <f t="shared" si="599"/>
        <v>10000</v>
      </c>
      <c r="I635" s="1"/>
      <c r="J635" s="1">
        <f t="shared" si="581"/>
        <v>10000</v>
      </c>
      <c r="K635" s="1"/>
      <c r="L635" s="1">
        <f t="shared" si="625"/>
        <v>10000</v>
      </c>
      <c r="N635" s="1">
        <f t="shared" si="626"/>
        <v>10000</v>
      </c>
      <c r="O635" s="1"/>
      <c r="Q635" s="1">
        <f t="shared" si="628"/>
        <v>10000</v>
      </c>
      <c r="T635" s="1">
        <f t="shared" si="630"/>
        <v>10000</v>
      </c>
      <c r="U635" s="1">
        <f t="shared" si="630"/>
        <v>10000</v>
      </c>
      <c r="V635" s="1">
        <f t="shared" si="631"/>
        <v>0</v>
      </c>
      <c r="W635" s="1">
        <f t="shared" si="632"/>
        <v>10000</v>
      </c>
      <c r="X635" s="1">
        <v>10000</v>
      </c>
      <c r="Y635" s="41">
        <f t="shared" si="639"/>
        <v>0</v>
      </c>
      <c r="Z635" s="1">
        <f t="shared" si="633"/>
        <v>10000</v>
      </c>
      <c r="AA635" s="1">
        <v>1000</v>
      </c>
      <c r="AB635" s="41">
        <f t="shared" si="608"/>
        <v>-9000</v>
      </c>
      <c r="AC635" s="1">
        <f t="shared" si="634"/>
        <v>1000</v>
      </c>
      <c r="AD635" s="41">
        <v>1000</v>
      </c>
      <c r="AE635" s="1">
        <f t="shared" si="635"/>
        <v>0</v>
      </c>
      <c r="AF635" s="1">
        <f t="shared" si="636"/>
        <v>1000</v>
      </c>
    </row>
    <row r="636" spans="1:32" outlineLevel="2">
      <c r="A636" s="13">
        <v>43200</v>
      </c>
      <c r="B636" s="11">
        <v>22300</v>
      </c>
      <c r="C636" s="11" t="s">
        <v>520</v>
      </c>
      <c r="D636" s="7">
        <v>2452.13</v>
      </c>
      <c r="E636" s="7"/>
      <c r="F636" s="7">
        <f t="shared" si="623"/>
        <v>2452.13</v>
      </c>
      <c r="G636" s="7">
        <v>-1452.13</v>
      </c>
      <c r="H636" s="7">
        <f t="shared" si="599"/>
        <v>1000</v>
      </c>
      <c r="I636" s="1"/>
      <c r="J636" s="1">
        <f t="shared" si="581"/>
        <v>1000</v>
      </c>
      <c r="K636" s="1"/>
      <c r="L636" s="1">
        <f t="shared" si="625"/>
        <v>1000</v>
      </c>
      <c r="N636" s="1">
        <f t="shared" si="626"/>
        <v>1000</v>
      </c>
      <c r="O636" s="1"/>
      <c r="Q636" s="1">
        <f t="shared" si="628"/>
        <v>1000</v>
      </c>
      <c r="T636" s="1">
        <f t="shared" si="630"/>
        <v>1000</v>
      </c>
      <c r="U636" s="1">
        <f t="shared" si="630"/>
        <v>1000</v>
      </c>
      <c r="V636" s="1">
        <f t="shared" si="631"/>
        <v>0</v>
      </c>
      <c r="W636" s="1">
        <f t="shared" si="632"/>
        <v>1000</v>
      </c>
      <c r="X636" s="1">
        <v>1000</v>
      </c>
      <c r="Y636" s="41">
        <f t="shared" si="639"/>
        <v>0</v>
      </c>
      <c r="Z636" s="1">
        <f t="shared" si="633"/>
        <v>1000</v>
      </c>
      <c r="AA636" s="1">
        <v>3000</v>
      </c>
      <c r="AB636" s="41">
        <f t="shared" si="608"/>
        <v>2000</v>
      </c>
      <c r="AC636" s="1">
        <f t="shared" si="634"/>
        <v>3000</v>
      </c>
      <c r="AD636" s="41">
        <v>0</v>
      </c>
      <c r="AE636" s="1">
        <f t="shared" si="635"/>
        <v>-3000</v>
      </c>
      <c r="AF636" s="1">
        <f t="shared" si="636"/>
        <v>0</v>
      </c>
    </row>
    <row r="637" spans="1:32" outlineLevel="2">
      <c r="A637" s="42">
        <v>43200</v>
      </c>
      <c r="B637" s="11">
        <v>22500</v>
      </c>
      <c r="C637" s="39" t="s">
        <v>740</v>
      </c>
      <c r="D637" s="7"/>
      <c r="E637" s="7"/>
      <c r="F637" s="7"/>
      <c r="G637" s="7"/>
      <c r="H637" s="7"/>
      <c r="I637" s="1"/>
      <c r="J637" s="1"/>
      <c r="K637" s="1"/>
      <c r="L637" s="1"/>
      <c r="N637" s="1"/>
      <c r="O637" s="1"/>
      <c r="T637" s="1">
        <v>0</v>
      </c>
      <c r="U637" s="1">
        <v>65000</v>
      </c>
      <c r="V637" s="1">
        <f t="shared" ref="V637" si="640">U637-T637</f>
        <v>65000</v>
      </c>
      <c r="W637" s="1">
        <f t="shared" ref="W637" si="641">T637+V637</f>
        <v>65000</v>
      </c>
      <c r="X637" s="41">
        <v>0</v>
      </c>
      <c r="Y637" s="41">
        <f t="shared" si="639"/>
        <v>-65000</v>
      </c>
      <c r="Z637" s="1">
        <f t="shared" si="633"/>
        <v>0</v>
      </c>
      <c r="AA637" s="1">
        <v>0</v>
      </c>
      <c r="AB637" s="41">
        <f t="shared" si="608"/>
        <v>0</v>
      </c>
      <c r="AC637" s="1">
        <f t="shared" si="634"/>
        <v>0</v>
      </c>
      <c r="AD637" s="41">
        <v>0</v>
      </c>
      <c r="AE637" s="1">
        <f t="shared" si="635"/>
        <v>0</v>
      </c>
      <c r="AF637" s="1">
        <f t="shared" si="636"/>
        <v>0</v>
      </c>
    </row>
    <row r="638" spans="1:32" outlineLevel="2">
      <c r="A638" s="13">
        <v>43200</v>
      </c>
      <c r="B638" s="11">
        <v>22501</v>
      </c>
      <c r="C638" s="11" t="s">
        <v>112</v>
      </c>
      <c r="D638" s="7">
        <v>0</v>
      </c>
      <c r="E638" s="7"/>
      <c r="F638" s="7">
        <f t="shared" si="623"/>
        <v>0</v>
      </c>
      <c r="G638" s="7">
        <v>24000</v>
      </c>
      <c r="H638" s="7">
        <f t="shared" si="599"/>
        <v>24000</v>
      </c>
      <c r="I638" s="1"/>
      <c r="J638" s="1">
        <f t="shared" ref="J638:J707" si="642">H638-I638</f>
        <v>24000</v>
      </c>
      <c r="K638" s="1"/>
      <c r="L638" s="1">
        <f t="shared" si="625"/>
        <v>24000</v>
      </c>
      <c r="N638" s="1">
        <f t="shared" si="626"/>
        <v>24000</v>
      </c>
      <c r="O638" s="1"/>
      <c r="Q638" s="1">
        <f t="shared" si="628"/>
        <v>24000</v>
      </c>
      <c r="S638" s="1">
        <v>23000</v>
      </c>
      <c r="T638" s="1">
        <v>67496.73</v>
      </c>
      <c r="U638" s="1">
        <v>20496.73</v>
      </c>
      <c r="V638" s="1">
        <f t="shared" si="631"/>
        <v>-47000</v>
      </c>
      <c r="W638" s="1">
        <f t="shared" si="632"/>
        <v>20496.729999999996</v>
      </c>
      <c r="X638" s="1">
        <v>21000</v>
      </c>
      <c r="Y638" s="41">
        <f t="shared" si="639"/>
        <v>503.27000000000407</v>
      </c>
      <c r="Z638" s="1">
        <f t="shared" si="633"/>
        <v>21000</v>
      </c>
      <c r="AA638" s="1">
        <f>24134.6+12875.2</f>
        <v>37009.800000000003</v>
      </c>
      <c r="AB638" s="41">
        <f t="shared" si="608"/>
        <v>16009.800000000003</v>
      </c>
      <c r="AC638" s="1">
        <f t="shared" si="634"/>
        <v>37009.800000000003</v>
      </c>
      <c r="AD638" s="41">
        <v>0</v>
      </c>
      <c r="AE638" s="1">
        <f t="shared" si="635"/>
        <v>-37009.800000000003</v>
      </c>
      <c r="AF638" s="1">
        <f t="shared" si="636"/>
        <v>0</v>
      </c>
    </row>
    <row r="639" spans="1:32" outlineLevel="2">
      <c r="A639" s="13">
        <v>43200</v>
      </c>
      <c r="B639" s="11">
        <v>22601</v>
      </c>
      <c r="C639" s="11" t="s">
        <v>521</v>
      </c>
      <c r="D639" s="7">
        <v>14712.78</v>
      </c>
      <c r="E639" s="7"/>
      <c r="F639" s="7">
        <f t="shared" si="623"/>
        <v>14712.78</v>
      </c>
      <c r="G639" s="7">
        <v>-4712.78</v>
      </c>
      <c r="H639" s="7">
        <f t="shared" si="599"/>
        <v>10000</v>
      </c>
      <c r="I639" s="1"/>
      <c r="J639" s="1">
        <f t="shared" si="642"/>
        <v>10000</v>
      </c>
      <c r="K639" s="1"/>
      <c r="L639" s="1">
        <f t="shared" si="625"/>
        <v>10000</v>
      </c>
      <c r="N639" s="1">
        <f t="shared" si="626"/>
        <v>10000</v>
      </c>
      <c r="O639" s="1"/>
      <c r="Q639" s="1">
        <f t="shared" si="628"/>
        <v>10000</v>
      </c>
      <c r="T639" s="1">
        <f t="shared" si="630"/>
        <v>10000</v>
      </c>
      <c r="U639" s="1">
        <f t="shared" si="630"/>
        <v>10000</v>
      </c>
      <c r="V639" s="1">
        <f t="shared" si="631"/>
        <v>0</v>
      </c>
      <c r="W639" s="1">
        <f t="shared" si="632"/>
        <v>10000</v>
      </c>
      <c r="X639" s="1">
        <v>10000</v>
      </c>
      <c r="Y639" s="41">
        <f t="shared" si="639"/>
        <v>0</v>
      </c>
      <c r="Z639" s="1">
        <f t="shared" si="633"/>
        <v>10000</v>
      </c>
      <c r="AA639" s="41">
        <v>10000</v>
      </c>
      <c r="AB639" s="41">
        <f t="shared" si="608"/>
        <v>0</v>
      </c>
      <c r="AC639" s="1">
        <f t="shared" si="634"/>
        <v>10000</v>
      </c>
      <c r="AD639" s="41">
        <v>10000</v>
      </c>
      <c r="AE639" s="1">
        <f t="shared" si="635"/>
        <v>0</v>
      </c>
      <c r="AF639" s="1">
        <f t="shared" si="636"/>
        <v>10000</v>
      </c>
    </row>
    <row r="640" spans="1:32" outlineLevel="2">
      <c r="A640" s="13">
        <v>43200</v>
      </c>
      <c r="B640" s="11">
        <v>22602</v>
      </c>
      <c r="C640" s="11" t="s">
        <v>522</v>
      </c>
      <c r="D640" s="7">
        <v>89600</v>
      </c>
      <c r="E640" s="7">
        <v>95000</v>
      </c>
      <c r="F640" s="7">
        <f t="shared" si="623"/>
        <v>-5400</v>
      </c>
      <c r="G640" s="7">
        <v>5400</v>
      </c>
      <c r="H640" s="7">
        <f t="shared" si="599"/>
        <v>95000</v>
      </c>
      <c r="I640" s="1"/>
      <c r="J640" s="1">
        <f t="shared" si="642"/>
        <v>95000</v>
      </c>
      <c r="K640" s="1"/>
      <c r="L640" s="1">
        <f t="shared" si="625"/>
        <v>95000</v>
      </c>
      <c r="M640" s="7">
        <v>-5000</v>
      </c>
      <c r="N640" s="1">
        <f t="shared" si="626"/>
        <v>90000</v>
      </c>
      <c r="O640" s="1"/>
      <c r="Q640" s="1">
        <f t="shared" si="628"/>
        <v>90000</v>
      </c>
      <c r="T640" s="1">
        <f t="shared" si="630"/>
        <v>90000</v>
      </c>
      <c r="U640" s="1">
        <f t="shared" si="630"/>
        <v>90000</v>
      </c>
      <c r="V640" s="1">
        <f t="shared" si="631"/>
        <v>0</v>
      </c>
      <c r="W640" s="1">
        <f t="shared" si="632"/>
        <v>90000</v>
      </c>
      <c r="X640" s="41">
        <v>20000</v>
      </c>
      <c r="Y640" s="41">
        <f t="shared" si="639"/>
        <v>-70000</v>
      </c>
      <c r="Z640" s="1">
        <f t="shared" si="633"/>
        <v>20000</v>
      </c>
      <c r="AA640" s="41">
        <v>30000</v>
      </c>
      <c r="AB640" s="41">
        <f t="shared" si="608"/>
        <v>10000</v>
      </c>
      <c r="AC640" s="1">
        <f t="shared" si="634"/>
        <v>30000</v>
      </c>
      <c r="AD640" s="41">
        <v>50000</v>
      </c>
      <c r="AE640" s="1">
        <f t="shared" si="635"/>
        <v>20000</v>
      </c>
      <c r="AF640" s="1">
        <f t="shared" si="636"/>
        <v>50000</v>
      </c>
    </row>
    <row r="641" spans="1:32" outlineLevel="2">
      <c r="A641" s="13">
        <v>43200</v>
      </c>
      <c r="B641" s="11">
        <v>22606</v>
      </c>
      <c r="C641" s="11" t="s">
        <v>523</v>
      </c>
      <c r="D641" s="7">
        <v>53042.58</v>
      </c>
      <c r="E641" s="7"/>
      <c r="F641" s="7">
        <f t="shared" si="623"/>
        <v>53042.58</v>
      </c>
      <c r="G641" s="7">
        <v>-3042.58</v>
      </c>
      <c r="H641" s="7">
        <f t="shared" si="599"/>
        <v>50000</v>
      </c>
      <c r="I641" s="1"/>
      <c r="J641" s="1">
        <f t="shared" si="642"/>
        <v>50000</v>
      </c>
      <c r="K641" s="1"/>
      <c r="L641" s="1">
        <f t="shared" si="625"/>
        <v>50000</v>
      </c>
      <c r="N641" s="1">
        <f t="shared" si="626"/>
        <v>50000</v>
      </c>
      <c r="O641" s="1"/>
      <c r="P641" s="1">
        <v>40000</v>
      </c>
      <c r="Q641" s="1">
        <f t="shared" si="628"/>
        <v>90000</v>
      </c>
      <c r="S641" s="1">
        <f>-23000+4000+6500</f>
        <v>-12500</v>
      </c>
      <c r="T641" s="1">
        <f t="shared" si="630"/>
        <v>77500</v>
      </c>
      <c r="U641" s="1">
        <f t="shared" si="630"/>
        <v>77500</v>
      </c>
      <c r="V641" s="1">
        <f t="shared" si="631"/>
        <v>0</v>
      </c>
      <c r="W641" s="1">
        <f t="shared" si="632"/>
        <v>77500</v>
      </c>
      <c r="X641" s="1">
        <v>95000</v>
      </c>
      <c r="Y641" s="41">
        <f t="shared" si="639"/>
        <v>17500</v>
      </c>
      <c r="Z641" s="1">
        <f t="shared" si="633"/>
        <v>95000</v>
      </c>
      <c r="AA641" s="41">
        <v>100000</v>
      </c>
      <c r="AB641" s="41">
        <f t="shared" si="608"/>
        <v>5000</v>
      </c>
      <c r="AC641" s="1">
        <f t="shared" si="634"/>
        <v>100000</v>
      </c>
      <c r="AD641" s="41">
        <v>118500</v>
      </c>
      <c r="AE641" s="1">
        <f t="shared" si="635"/>
        <v>18500</v>
      </c>
      <c r="AF641" s="1">
        <f t="shared" si="636"/>
        <v>118500</v>
      </c>
    </row>
    <row r="642" spans="1:32" outlineLevel="2">
      <c r="A642" s="13">
        <v>43200</v>
      </c>
      <c r="B642" s="11">
        <v>22699</v>
      </c>
      <c r="C642" s="11" t="s">
        <v>256</v>
      </c>
      <c r="D642" s="7">
        <v>40080.97</v>
      </c>
      <c r="E642" s="7"/>
      <c r="F642" s="7">
        <f t="shared" si="623"/>
        <v>40080.97</v>
      </c>
      <c r="G642" s="7">
        <v>-2080.9699999999998</v>
      </c>
      <c r="H642" s="7">
        <f t="shared" si="599"/>
        <v>38000</v>
      </c>
      <c r="I642" s="1"/>
      <c r="J642" s="1">
        <f t="shared" si="642"/>
        <v>38000</v>
      </c>
      <c r="K642" s="1"/>
      <c r="L642" s="1">
        <f t="shared" si="625"/>
        <v>38000</v>
      </c>
      <c r="N642" s="1">
        <f t="shared" si="626"/>
        <v>38000</v>
      </c>
      <c r="O642" s="1"/>
      <c r="P642" s="1">
        <v>42000</v>
      </c>
      <c r="Q642" s="1">
        <f t="shared" si="628"/>
        <v>80000</v>
      </c>
      <c r="T642" s="1">
        <f t="shared" si="630"/>
        <v>80000</v>
      </c>
      <c r="U642" s="1">
        <f t="shared" si="630"/>
        <v>80000</v>
      </c>
      <c r="V642" s="1">
        <f t="shared" si="631"/>
        <v>0</v>
      </c>
      <c r="W642" s="1">
        <f t="shared" si="632"/>
        <v>80000</v>
      </c>
      <c r="X642" s="1">
        <v>80000</v>
      </c>
      <c r="Y642" s="41">
        <f t="shared" si="639"/>
        <v>0</v>
      </c>
      <c r="Z642" s="1">
        <f t="shared" si="633"/>
        <v>80000</v>
      </c>
      <c r="AA642" s="41">
        <f>80000+10000</f>
        <v>90000</v>
      </c>
      <c r="AB642" s="41">
        <f t="shared" si="608"/>
        <v>10000</v>
      </c>
      <c r="AC642" s="1">
        <f t="shared" si="634"/>
        <v>90000</v>
      </c>
      <c r="AD642" s="41">
        <f>100000+54233-540</f>
        <v>153693</v>
      </c>
      <c r="AE642" s="1">
        <f t="shared" si="635"/>
        <v>63693</v>
      </c>
      <c r="AF642" s="1">
        <f t="shared" si="636"/>
        <v>153693</v>
      </c>
    </row>
    <row r="643" spans="1:32" outlineLevel="2">
      <c r="A643" s="13">
        <v>43200</v>
      </c>
      <c r="B643" s="11">
        <v>22700</v>
      </c>
      <c r="C643" s="11" t="s">
        <v>524</v>
      </c>
      <c r="D643" s="7">
        <v>2448</v>
      </c>
      <c r="E643" s="7"/>
      <c r="F643" s="7">
        <f t="shared" si="623"/>
        <v>2448</v>
      </c>
      <c r="G643" s="7"/>
      <c r="H643" s="7">
        <f t="shared" si="599"/>
        <v>2448</v>
      </c>
      <c r="I643" s="1"/>
      <c r="J643" s="1">
        <f t="shared" si="642"/>
        <v>2448</v>
      </c>
      <c r="K643" s="1"/>
      <c r="L643" s="1">
        <f t="shared" si="625"/>
        <v>2448</v>
      </c>
      <c r="N643" s="1">
        <f t="shared" si="626"/>
        <v>2448</v>
      </c>
      <c r="O643" s="1"/>
      <c r="Q643" s="1">
        <f t="shared" si="628"/>
        <v>2448</v>
      </c>
      <c r="T643" s="1">
        <f t="shared" si="630"/>
        <v>2448</v>
      </c>
      <c r="U643" s="1">
        <f t="shared" si="630"/>
        <v>2448</v>
      </c>
      <c r="V643" s="1">
        <f t="shared" si="631"/>
        <v>0</v>
      </c>
      <c r="W643" s="1">
        <f t="shared" si="632"/>
        <v>2448</v>
      </c>
      <c r="X643" s="1">
        <v>2450</v>
      </c>
      <c r="Y643" s="41">
        <f t="shared" si="639"/>
        <v>2</v>
      </c>
      <c r="Z643" s="1">
        <f t="shared" si="633"/>
        <v>2450</v>
      </c>
      <c r="AA643" s="41">
        <v>2450</v>
      </c>
      <c r="AB643" s="41">
        <f t="shared" si="608"/>
        <v>0</v>
      </c>
      <c r="AC643" s="1">
        <f t="shared" si="634"/>
        <v>2450</v>
      </c>
      <c r="AD643" s="41">
        <v>1000</v>
      </c>
      <c r="AE643" s="1">
        <f t="shared" si="635"/>
        <v>-1450</v>
      </c>
      <c r="AF643" s="1">
        <f t="shared" si="636"/>
        <v>1000</v>
      </c>
    </row>
    <row r="644" spans="1:32" outlineLevel="2">
      <c r="A644" s="13">
        <v>43200</v>
      </c>
      <c r="B644" s="11">
        <v>22701</v>
      </c>
      <c r="C644" s="11" t="s">
        <v>525</v>
      </c>
      <c r="D644" s="7">
        <v>68544</v>
      </c>
      <c r="E644" s="7"/>
      <c r="F644" s="7">
        <f t="shared" si="623"/>
        <v>68544</v>
      </c>
      <c r="G644" s="7">
        <v>-1544</v>
      </c>
      <c r="H644" s="7">
        <f t="shared" si="599"/>
        <v>67000</v>
      </c>
      <c r="I644" s="1"/>
      <c r="J644" s="1">
        <f t="shared" si="642"/>
        <v>67000</v>
      </c>
      <c r="K644" s="1"/>
      <c r="L644" s="1">
        <f t="shared" si="625"/>
        <v>67000</v>
      </c>
      <c r="M644" s="7">
        <v>474596</v>
      </c>
      <c r="N644" s="1">
        <f t="shared" si="626"/>
        <v>541596</v>
      </c>
      <c r="O644" s="1"/>
      <c r="Q644" s="1">
        <f t="shared" si="628"/>
        <v>541596</v>
      </c>
      <c r="T644" s="1">
        <f t="shared" si="630"/>
        <v>541596</v>
      </c>
      <c r="U644" s="1">
        <v>600000</v>
      </c>
      <c r="V644" s="1">
        <f t="shared" si="631"/>
        <v>58404</v>
      </c>
      <c r="W644" s="1">
        <f t="shared" si="632"/>
        <v>600000</v>
      </c>
      <c r="X644" s="1">
        <v>0</v>
      </c>
      <c r="Y644" s="41">
        <f t="shared" si="639"/>
        <v>-600000</v>
      </c>
      <c r="Z644" s="1">
        <f t="shared" si="633"/>
        <v>0</v>
      </c>
      <c r="AA644" s="41">
        <v>0</v>
      </c>
      <c r="AB644" s="41">
        <f t="shared" si="608"/>
        <v>0</v>
      </c>
      <c r="AC644" s="1">
        <f t="shared" si="634"/>
        <v>0</v>
      </c>
      <c r="AD644" s="41">
        <v>0</v>
      </c>
      <c r="AE644" s="1">
        <f t="shared" si="635"/>
        <v>0</v>
      </c>
      <c r="AF644" s="1">
        <f t="shared" si="636"/>
        <v>0</v>
      </c>
    </row>
    <row r="645" spans="1:32" outlineLevel="2">
      <c r="A645" s="13">
        <v>43200</v>
      </c>
      <c r="B645" s="11">
        <v>22706</v>
      </c>
      <c r="C645" s="42" t="s">
        <v>898</v>
      </c>
      <c r="D645" s="7">
        <v>4904.26</v>
      </c>
      <c r="E645" s="7"/>
      <c r="F645" s="7">
        <f t="shared" si="623"/>
        <v>4904.26</v>
      </c>
      <c r="G645" s="7"/>
      <c r="H645" s="7">
        <f t="shared" si="599"/>
        <v>4904.26</v>
      </c>
      <c r="I645" s="1"/>
      <c r="J645" s="1">
        <f t="shared" si="642"/>
        <v>4904.26</v>
      </c>
      <c r="K645" s="1"/>
      <c r="L645" s="1">
        <f t="shared" si="625"/>
        <v>4904.26</v>
      </c>
      <c r="N645" s="1">
        <f t="shared" si="626"/>
        <v>4904.26</v>
      </c>
      <c r="O645" s="1"/>
      <c r="Q645" s="1">
        <f t="shared" si="628"/>
        <v>4904.26</v>
      </c>
      <c r="T645" s="1">
        <f t="shared" si="630"/>
        <v>4904.26</v>
      </c>
      <c r="U645" s="1">
        <v>8000</v>
      </c>
      <c r="V645" s="1">
        <f t="shared" si="631"/>
        <v>3095.74</v>
      </c>
      <c r="W645" s="1">
        <f t="shared" si="632"/>
        <v>8000</v>
      </c>
      <c r="X645" s="1">
        <v>8000</v>
      </c>
      <c r="Y645" s="41">
        <f t="shared" si="639"/>
        <v>0</v>
      </c>
      <c r="Z645" s="1">
        <f t="shared" si="633"/>
        <v>8000</v>
      </c>
      <c r="AA645" s="41">
        <v>8000</v>
      </c>
      <c r="AB645" s="41">
        <f t="shared" si="608"/>
        <v>0</v>
      </c>
      <c r="AC645" s="1">
        <f t="shared" si="634"/>
        <v>8000</v>
      </c>
      <c r="AD645" s="41">
        <v>15000</v>
      </c>
      <c r="AE645" s="1">
        <f t="shared" si="635"/>
        <v>7000</v>
      </c>
      <c r="AF645" s="1">
        <f t="shared" si="636"/>
        <v>15000</v>
      </c>
    </row>
    <row r="646" spans="1:32" outlineLevel="2">
      <c r="A646" s="13">
        <v>43200</v>
      </c>
      <c r="B646" s="11">
        <v>23020</v>
      </c>
      <c r="C646" s="11" t="s">
        <v>526</v>
      </c>
      <c r="D646" s="7">
        <v>24480</v>
      </c>
      <c r="E646" s="7">
        <v>8000</v>
      </c>
      <c r="F646" s="7">
        <f t="shared" si="623"/>
        <v>16480</v>
      </c>
      <c r="G646" s="7">
        <v>-16480</v>
      </c>
      <c r="H646" s="7">
        <f t="shared" si="599"/>
        <v>8000</v>
      </c>
      <c r="I646" s="1"/>
      <c r="J646" s="1">
        <f t="shared" si="642"/>
        <v>8000</v>
      </c>
      <c r="K646" s="1"/>
      <c r="L646" s="1">
        <f t="shared" si="625"/>
        <v>8000</v>
      </c>
      <c r="M646" s="8"/>
      <c r="N646" s="1">
        <f t="shared" si="626"/>
        <v>8000</v>
      </c>
      <c r="O646" s="1"/>
      <c r="Q646" s="1">
        <f t="shared" si="628"/>
        <v>8000</v>
      </c>
      <c r="T646" s="1">
        <f t="shared" si="630"/>
        <v>8000</v>
      </c>
      <c r="U646" s="1">
        <f t="shared" si="630"/>
        <v>8000</v>
      </c>
      <c r="V646" s="1">
        <f t="shared" si="631"/>
        <v>0</v>
      </c>
      <c r="W646" s="1">
        <f t="shared" si="632"/>
        <v>8000</v>
      </c>
      <c r="X646" s="1">
        <v>10000</v>
      </c>
      <c r="Y646" s="41">
        <f t="shared" si="639"/>
        <v>2000</v>
      </c>
      <c r="Z646" s="1">
        <f t="shared" si="633"/>
        <v>10000</v>
      </c>
      <c r="AA646" s="41">
        <v>5000</v>
      </c>
      <c r="AB646" s="41">
        <f t="shared" si="608"/>
        <v>-5000</v>
      </c>
      <c r="AC646" s="1">
        <f t="shared" si="634"/>
        <v>5000</v>
      </c>
      <c r="AD646" s="41">
        <v>8000</v>
      </c>
      <c r="AE646" s="1">
        <f t="shared" si="635"/>
        <v>3000</v>
      </c>
      <c r="AF646" s="1">
        <f t="shared" si="636"/>
        <v>8000</v>
      </c>
    </row>
    <row r="647" spans="1:32" outlineLevel="2">
      <c r="A647" s="13">
        <v>43200</v>
      </c>
      <c r="B647" s="11">
        <v>23120</v>
      </c>
      <c r="C647" s="11" t="s">
        <v>527</v>
      </c>
      <c r="D647" s="7">
        <v>16320</v>
      </c>
      <c r="E647" s="7">
        <v>5500</v>
      </c>
      <c r="F647" s="7">
        <f t="shared" si="623"/>
        <v>10820</v>
      </c>
      <c r="G647" s="7">
        <v>-10820</v>
      </c>
      <c r="H647" s="7">
        <f t="shared" si="599"/>
        <v>5500</v>
      </c>
      <c r="I647" s="1"/>
      <c r="J647" s="1">
        <f t="shared" si="642"/>
        <v>5500</v>
      </c>
      <c r="K647" s="1"/>
      <c r="L647" s="1">
        <f t="shared" si="625"/>
        <v>5500</v>
      </c>
      <c r="M647" s="8"/>
      <c r="N647" s="1">
        <f t="shared" si="626"/>
        <v>5500</v>
      </c>
      <c r="O647" s="1"/>
      <c r="Q647" s="1">
        <f t="shared" si="628"/>
        <v>5500</v>
      </c>
      <c r="T647" s="1">
        <f t="shared" si="630"/>
        <v>5500</v>
      </c>
      <c r="U647" s="1">
        <v>7000</v>
      </c>
      <c r="V647" s="1">
        <f t="shared" si="631"/>
        <v>1500</v>
      </c>
      <c r="W647" s="1">
        <f t="shared" si="632"/>
        <v>7000</v>
      </c>
      <c r="X647" s="1">
        <v>10000</v>
      </c>
      <c r="Y647" s="41">
        <f t="shared" si="639"/>
        <v>3000</v>
      </c>
      <c r="Z647" s="1">
        <f t="shared" si="633"/>
        <v>10000</v>
      </c>
      <c r="AA647" s="41">
        <v>5000</v>
      </c>
      <c r="AB647" s="41">
        <f t="shared" si="608"/>
        <v>-5000</v>
      </c>
      <c r="AC647" s="1">
        <f t="shared" si="634"/>
        <v>5000</v>
      </c>
      <c r="AD647" s="41">
        <v>8000</v>
      </c>
      <c r="AE647" s="1">
        <f t="shared" si="635"/>
        <v>3000</v>
      </c>
      <c r="AF647" s="1">
        <f t="shared" si="636"/>
        <v>8000</v>
      </c>
    </row>
    <row r="648" spans="1:32" outlineLevel="2">
      <c r="A648" s="13">
        <v>43200</v>
      </c>
      <c r="B648" s="11">
        <v>46100</v>
      </c>
      <c r="C648" s="11" t="s">
        <v>332</v>
      </c>
      <c r="D648" s="7">
        <v>8000</v>
      </c>
      <c r="E648" s="7">
        <v>8000</v>
      </c>
      <c r="F648" s="7">
        <f t="shared" si="623"/>
        <v>0</v>
      </c>
      <c r="G648" s="7">
        <v>0</v>
      </c>
      <c r="H648" s="7">
        <f t="shared" si="599"/>
        <v>8000</v>
      </c>
      <c r="I648" s="1"/>
      <c r="J648" s="1">
        <f t="shared" si="642"/>
        <v>8000</v>
      </c>
      <c r="K648" s="1"/>
      <c r="L648" s="1">
        <f t="shared" si="625"/>
        <v>8000</v>
      </c>
      <c r="M648" s="10">
        <v>-1000</v>
      </c>
      <c r="N648" s="1">
        <f t="shared" si="626"/>
        <v>7000</v>
      </c>
      <c r="O648" s="1"/>
      <c r="Q648" s="1">
        <f t="shared" si="628"/>
        <v>7000</v>
      </c>
      <c r="S648" s="1">
        <v>-7000</v>
      </c>
      <c r="T648" s="1">
        <f t="shared" si="630"/>
        <v>0</v>
      </c>
      <c r="U648" s="1">
        <f t="shared" si="630"/>
        <v>0</v>
      </c>
      <c r="V648" s="1">
        <f t="shared" si="631"/>
        <v>0</v>
      </c>
      <c r="W648" s="1">
        <f t="shared" si="632"/>
        <v>0</v>
      </c>
      <c r="X648" s="1">
        <v>0</v>
      </c>
      <c r="Y648" s="41">
        <f t="shared" si="639"/>
        <v>0</v>
      </c>
      <c r="Z648" s="1">
        <f t="shared" si="633"/>
        <v>0</v>
      </c>
      <c r="AA648" s="41">
        <v>0</v>
      </c>
      <c r="AB648" s="41">
        <f t="shared" si="608"/>
        <v>0</v>
      </c>
      <c r="AC648" s="1">
        <f t="shared" si="634"/>
        <v>0</v>
      </c>
      <c r="AD648" s="41">
        <v>0</v>
      </c>
      <c r="AE648" s="1">
        <f t="shared" si="635"/>
        <v>0</v>
      </c>
      <c r="AF648" s="1">
        <f t="shared" si="636"/>
        <v>0</v>
      </c>
    </row>
    <row r="649" spans="1:32" outlineLevel="2">
      <c r="A649" s="13">
        <v>43200</v>
      </c>
      <c r="B649" s="11">
        <v>48100</v>
      </c>
      <c r="C649" s="42" t="s">
        <v>914</v>
      </c>
      <c r="D649" s="7">
        <v>0</v>
      </c>
      <c r="E649" s="7">
        <v>1000</v>
      </c>
      <c r="F649" s="7">
        <f>D649-E649</f>
        <v>-1000</v>
      </c>
      <c r="G649" s="7">
        <v>1000</v>
      </c>
      <c r="H649" s="7">
        <f>D649+G649</f>
        <v>1000</v>
      </c>
      <c r="I649" s="1"/>
      <c r="J649" s="1">
        <f t="shared" si="642"/>
        <v>1000</v>
      </c>
      <c r="K649" s="1"/>
      <c r="L649" s="1">
        <f t="shared" si="625"/>
        <v>1000</v>
      </c>
      <c r="M649" s="8"/>
      <c r="N649" s="1">
        <f t="shared" si="626"/>
        <v>1000</v>
      </c>
      <c r="O649" s="1"/>
      <c r="Q649" s="1">
        <f t="shared" si="628"/>
        <v>1000</v>
      </c>
      <c r="S649" s="41" t="s">
        <v>686</v>
      </c>
      <c r="T649" s="1">
        <v>1000</v>
      </c>
      <c r="U649" s="1">
        <v>1000</v>
      </c>
      <c r="V649" s="1">
        <f t="shared" si="631"/>
        <v>0</v>
      </c>
      <c r="W649" s="1">
        <f t="shared" si="632"/>
        <v>1000</v>
      </c>
      <c r="X649" s="1">
        <f>1500+5000+500</f>
        <v>7000</v>
      </c>
      <c r="Y649" s="41">
        <f t="shared" si="639"/>
        <v>6000</v>
      </c>
      <c r="Z649" s="1">
        <f t="shared" si="633"/>
        <v>7000</v>
      </c>
      <c r="AA649" s="41">
        <v>6500</v>
      </c>
      <c r="AB649" s="41">
        <f t="shared" si="608"/>
        <v>-500</v>
      </c>
      <c r="AC649" s="1">
        <f t="shared" si="634"/>
        <v>6500</v>
      </c>
      <c r="AD649" s="41">
        <v>6500</v>
      </c>
      <c r="AE649" s="1">
        <f t="shared" si="635"/>
        <v>0</v>
      </c>
      <c r="AF649" s="1">
        <f t="shared" si="636"/>
        <v>6500</v>
      </c>
    </row>
    <row r="650" spans="1:32" outlineLevel="2">
      <c r="A650" s="42">
        <v>43200</v>
      </c>
      <c r="B650" s="11">
        <v>48901</v>
      </c>
      <c r="C650" s="42" t="s">
        <v>915</v>
      </c>
      <c r="D650" s="7"/>
      <c r="E650" s="7"/>
      <c r="F650" s="7"/>
      <c r="G650" s="7"/>
      <c r="H650" s="7"/>
      <c r="I650" s="1"/>
      <c r="J650" s="1"/>
      <c r="K650" s="1"/>
      <c r="L650" s="1"/>
      <c r="M650" s="8"/>
      <c r="N650" s="1"/>
      <c r="O650" s="1"/>
      <c r="S650" s="41"/>
      <c r="T650" s="1"/>
      <c r="V650" s="1"/>
      <c r="W650" s="1"/>
      <c r="Y650" s="41"/>
      <c r="Z650" s="1"/>
      <c r="AA650" s="41"/>
      <c r="AB650" s="41"/>
      <c r="AC650" s="1">
        <v>0</v>
      </c>
      <c r="AD650" s="41">
        <v>5000</v>
      </c>
      <c r="AE650" s="1">
        <f t="shared" ref="AE650" si="643">AD650-AC650</f>
        <v>5000</v>
      </c>
      <c r="AF650" s="1">
        <f t="shared" ref="AF650" si="644">AC650+AE650</f>
        <v>5000</v>
      </c>
    </row>
    <row r="651" spans="1:32" s="2" customFormat="1" outlineLevel="1">
      <c r="A651" s="13">
        <v>43200</v>
      </c>
      <c r="B651" s="11">
        <v>48902</v>
      </c>
      <c r="C651" s="11" t="s">
        <v>529</v>
      </c>
      <c r="D651" s="7">
        <v>36000</v>
      </c>
      <c r="E651" s="7"/>
      <c r="F651" s="7">
        <f t="shared" si="623"/>
        <v>36000</v>
      </c>
      <c r="G651" s="7"/>
      <c r="H651" s="7">
        <f t="shared" si="599"/>
        <v>36000</v>
      </c>
      <c r="I651" s="1"/>
      <c r="J651" s="1">
        <f t="shared" si="642"/>
        <v>36000</v>
      </c>
      <c r="K651" s="1"/>
      <c r="L651" s="1">
        <f t="shared" si="625"/>
        <v>36000</v>
      </c>
      <c r="M651" s="10">
        <f>30000-L651</f>
        <v>-6000</v>
      </c>
      <c r="N651" s="1">
        <f t="shared" si="626"/>
        <v>30000</v>
      </c>
      <c r="O651" s="1"/>
      <c r="P651" s="16">
        <v>-5000</v>
      </c>
      <c r="Q651" s="1">
        <f t="shared" si="628"/>
        <v>25000</v>
      </c>
      <c r="R651" s="3"/>
      <c r="S651" s="16"/>
      <c r="T651" s="1">
        <f t="shared" si="630"/>
        <v>25000</v>
      </c>
      <c r="U651" s="1">
        <f t="shared" si="630"/>
        <v>25000</v>
      </c>
      <c r="V651" s="1">
        <f t="shared" si="631"/>
        <v>0</v>
      </c>
      <c r="W651" s="1">
        <f t="shared" si="632"/>
        <v>25000</v>
      </c>
      <c r="X651" s="41">
        <v>25000</v>
      </c>
      <c r="Y651" s="41">
        <f t="shared" si="639"/>
        <v>0</v>
      </c>
      <c r="Z651" s="1">
        <f t="shared" si="633"/>
        <v>25000</v>
      </c>
      <c r="AA651" s="41">
        <v>25000</v>
      </c>
      <c r="AB651" s="41">
        <f t="shared" si="608"/>
        <v>0</v>
      </c>
      <c r="AC651" s="1">
        <f t="shared" si="634"/>
        <v>25000</v>
      </c>
      <c r="AD651" s="41">
        <v>25000</v>
      </c>
      <c r="AE651" s="1">
        <f t="shared" si="635"/>
        <v>0</v>
      </c>
      <c r="AF651" s="1">
        <f t="shared" si="636"/>
        <v>25000</v>
      </c>
    </row>
    <row r="652" spans="1:32" s="2" customFormat="1" outlineLevel="1">
      <c r="A652" s="13">
        <v>43200</v>
      </c>
      <c r="B652" s="11">
        <v>48903</v>
      </c>
      <c r="C652" s="11" t="s">
        <v>423</v>
      </c>
      <c r="D652" s="7">
        <v>30000</v>
      </c>
      <c r="E652" s="7"/>
      <c r="F652" s="7">
        <f t="shared" si="623"/>
        <v>30000</v>
      </c>
      <c r="G652" s="7"/>
      <c r="H652" s="7">
        <f t="shared" si="599"/>
        <v>30000</v>
      </c>
      <c r="I652" s="3"/>
      <c r="J652" s="1">
        <f t="shared" si="642"/>
        <v>30000</v>
      </c>
      <c r="K652" s="3"/>
      <c r="L652" s="1">
        <f t="shared" si="625"/>
        <v>30000</v>
      </c>
      <c r="M652" s="10">
        <v>-6000</v>
      </c>
      <c r="N652" s="1">
        <f t="shared" si="626"/>
        <v>24000</v>
      </c>
      <c r="O652" s="1"/>
      <c r="P652" s="16">
        <v>-6000</v>
      </c>
      <c r="Q652" s="1">
        <f t="shared" si="628"/>
        <v>18000</v>
      </c>
      <c r="R652" s="3"/>
      <c r="S652" s="16"/>
      <c r="T652" s="1">
        <f t="shared" si="630"/>
        <v>18000</v>
      </c>
      <c r="U652" s="1">
        <f t="shared" si="630"/>
        <v>18000</v>
      </c>
      <c r="V652" s="1">
        <f t="shared" si="631"/>
        <v>0</v>
      </c>
      <c r="W652" s="1">
        <f t="shared" si="632"/>
        <v>18000</v>
      </c>
      <c r="X652" s="41">
        <v>21500</v>
      </c>
      <c r="Y652" s="41">
        <f t="shared" si="639"/>
        <v>3500</v>
      </c>
      <c r="Z652" s="1">
        <f t="shared" si="633"/>
        <v>21500</v>
      </c>
      <c r="AA652" s="41">
        <v>18000</v>
      </c>
      <c r="AB652" s="41">
        <f t="shared" si="608"/>
        <v>-3500</v>
      </c>
      <c r="AC652" s="1">
        <f t="shared" si="634"/>
        <v>18000</v>
      </c>
      <c r="AD652" s="41">
        <v>18000</v>
      </c>
      <c r="AE652" s="1">
        <f t="shared" si="635"/>
        <v>0</v>
      </c>
      <c r="AF652" s="1">
        <f t="shared" si="636"/>
        <v>18000</v>
      </c>
    </row>
    <row r="653" spans="1:32" s="2" customFormat="1">
      <c r="A653" s="13">
        <v>43200</v>
      </c>
      <c r="B653" s="11">
        <v>48904</v>
      </c>
      <c r="C653" s="11" t="s">
        <v>641</v>
      </c>
      <c r="D653" s="7"/>
      <c r="E653" s="7"/>
      <c r="F653" s="7"/>
      <c r="G653" s="7"/>
      <c r="H653" s="7"/>
      <c r="I653" s="3"/>
      <c r="J653" s="1"/>
      <c r="K653" s="3"/>
      <c r="L653" s="1">
        <v>0</v>
      </c>
      <c r="M653" s="10">
        <v>15000</v>
      </c>
      <c r="N653" s="1">
        <f t="shared" si="626"/>
        <v>15000</v>
      </c>
      <c r="O653" s="1"/>
      <c r="P653" s="16">
        <v>-5000</v>
      </c>
      <c r="Q653" s="1">
        <f t="shared" si="628"/>
        <v>10000</v>
      </c>
      <c r="R653" s="3"/>
      <c r="S653" s="16"/>
      <c r="T653" s="1">
        <f t="shared" si="630"/>
        <v>10000</v>
      </c>
      <c r="U653" s="1">
        <f t="shared" si="630"/>
        <v>10000</v>
      </c>
      <c r="V653" s="1">
        <f t="shared" si="631"/>
        <v>0</v>
      </c>
      <c r="W653" s="1">
        <f t="shared" si="632"/>
        <v>10000</v>
      </c>
      <c r="X653" s="41">
        <v>10000</v>
      </c>
      <c r="Y653" s="41">
        <f t="shared" si="639"/>
        <v>0</v>
      </c>
      <c r="Z653" s="1">
        <f t="shared" si="633"/>
        <v>10000</v>
      </c>
      <c r="AA653" s="41">
        <v>10000</v>
      </c>
      <c r="AB653" s="41">
        <f t="shared" ref="AB653" si="645">AA653-Z653</f>
        <v>0</v>
      </c>
      <c r="AC653" s="1">
        <f t="shared" ref="AC653" si="646">Z653+AB653</f>
        <v>10000</v>
      </c>
      <c r="AD653" s="41">
        <v>10000</v>
      </c>
      <c r="AE653" s="1">
        <f t="shared" si="635"/>
        <v>0</v>
      </c>
      <c r="AF653" s="1">
        <f t="shared" si="636"/>
        <v>10000</v>
      </c>
    </row>
    <row r="654" spans="1:32" s="2" customFormat="1">
      <c r="A654" s="13">
        <v>43200</v>
      </c>
      <c r="B654" s="11">
        <v>60100</v>
      </c>
      <c r="C654" s="11" t="s">
        <v>644</v>
      </c>
      <c r="D654" s="7"/>
      <c r="E654" s="7"/>
      <c r="F654" s="7"/>
      <c r="G654" s="7"/>
      <c r="H654" s="7"/>
      <c r="I654" s="3"/>
      <c r="J654" s="1"/>
      <c r="K654" s="3"/>
      <c r="L654" s="1">
        <v>0</v>
      </c>
      <c r="M654" s="10">
        <v>60000</v>
      </c>
      <c r="N654" s="1">
        <f t="shared" si="626"/>
        <v>60000</v>
      </c>
      <c r="O654" s="1"/>
      <c r="P654" s="16">
        <v>-60000</v>
      </c>
      <c r="Q654" s="1">
        <f t="shared" si="628"/>
        <v>0</v>
      </c>
      <c r="R654" s="3"/>
      <c r="S654" s="16"/>
      <c r="T654" s="1">
        <f t="shared" si="630"/>
        <v>0</v>
      </c>
      <c r="U654" s="3"/>
      <c r="V654" s="1">
        <f t="shared" si="631"/>
        <v>0</v>
      </c>
      <c r="W654" s="1">
        <f t="shared" si="632"/>
        <v>0</v>
      </c>
      <c r="X654" s="41">
        <v>0</v>
      </c>
      <c r="Y654" s="41">
        <f t="shared" si="639"/>
        <v>0</v>
      </c>
      <c r="Z654" s="1">
        <f t="shared" si="633"/>
        <v>0</v>
      </c>
      <c r="AA654" s="41">
        <v>0</v>
      </c>
      <c r="AB654" s="41">
        <f t="shared" si="608"/>
        <v>0</v>
      </c>
      <c r="AC654" s="1">
        <f t="shared" si="634"/>
        <v>0</v>
      </c>
      <c r="AD654" s="41">
        <v>0</v>
      </c>
      <c r="AE654" s="1">
        <f t="shared" si="635"/>
        <v>0</v>
      </c>
      <c r="AF654" s="1">
        <f t="shared" si="636"/>
        <v>0</v>
      </c>
    </row>
    <row r="655" spans="1:32" s="2" customFormat="1" outlineLevel="1">
      <c r="A655" s="13">
        <v>43200</v>
      </c>
      <c r="B655" s="11">
        <v>62200</v>
      </c>
      <c r="C655" s="11" t="s">
        <v>480</v>
      </c>
      <c r="D655" s="7">
        <v>10000</v>
      </c>
      <c r="E655" s="7">
        <v>57833.93</v>
      </c>
      <c r="F655" s="7">
        <f t="shared" si="623"/>
        <v>-47833.93</v>
      </c>
      <c r="G655" s="7">
        <v>47833.93</v>
      </c>
      <c r="H655" s="7">
        <f t="shared" si="599"/>
        <v>57833.93</v>
      </c>
      <c r="I655" s="17">
        <v>0</v>
      </c>
      <c r="J655" s="1">
        <f t="shared" si="642"/>
        <v>57833.93</v>
      </c>
      <c r="K655" s="16">
        <v>-57833.93</v>
      </c>
      <c r="L655" s="1">
        <f t="shared" si="625"/>
        <v>0</v>
      </c>
      <c r="M655" s="8"/>
      <c r="N655" s="1">
        <f t="shared" si="626"/>
        <v>0</v>
      </c>
      <c r="O655" s="1"/>
      <c r="P655" s="3"/>
      <c r="Q655" s="1">
        <f t="shared" si="628"/>
        <v>0</v>
      </c>
      <c r="R655" s="3"/>
      <c r="S655" s="3"/>
      <c r="T655" s="1">
        <f t="shared" si="630"/>
        <v>0</v>
      </c>
      <c r="U655" s="3"/>
      <c r="V655" s="1">
        <f t="shared" si="631"/>
        <v>0</v>
      </c>
      <c r="W655" s="1">
        <f t="shared" si="632"/>
        <v>0</v>
      </c>
      <c r="X655" s="41">
        <v>0</v>
      </c>
      <c r="Y655" s="41">
        <f t="shared" si="639"/>
        <v>0</v>
      </c>
      <c r="Z655" s="1">
        <f t="shared" si="633"/>
        <v>0</v>
      </c>
      <c r="AA655" s="41">
        <v>0</v>
      </c>
      <c r="AB655" s="41">
        <f t="shared" si="608"/>
        <v>0</v>
      </c>
      <c r="AC655" s="1">
        <f t="shared" si="634"/>
        <v>0</v>
      </c>
      <c r="AD655" s="41">
        <v>0</v>
      </c>
      <c r="AE655" s="1">
        <f t="shared" si="635"/>
        <v>0</v>
      </c>
      <c r="AF655" s="1">
        <f t="shared" si="636"/>
        <v>0</v>
      </c>
    </row>
    <row r="656" spans="1:32" s="2" customFormat="1" outlineLevel="1">
      <c r="A656" s="42">
        <v>43200</v>
      </c>
      <c r="B656" s="11">
        <v>62500</v>
      </c>
      <c r="C656" s="11" t="s">
        <v>916</v>
      </c>
      <c r="D656" s="7"/>
      <c r="E656" s="7"/>
      <c r="F656" s="7"/>
      <c r="G656" s="7"/>
      <c r="H656" s="7"/>
      <c r="I656" s="17"/>
      <c r="J656" s="1"/>
      <c r="K656" s="16"/>
      <c r="L656" s="1"/>
      <c r="M656" s="8"/>
      <c r="N656" s="1"/>
      <c r="O656" s="1"/>
      <c r="P656" s="3"/>
      <c r="Q656" s="1"/>
      <c r="R656" s="3"/>
      <c r="S656" s="3"/>
      <c r="T656" s="1"/>
      <c r="U656" s="3"/>
      <c r="V656" s="1"/>
      <c r="W656" s="1"/>
      <c r="X656" s="41"/>
      <c r="Y656" s="41"/>
      <c r="Z656" s="1"/>
      <c r="AA656" s="41"/>
      <c r="AB656" s="41"/>
      <c r="AC656" s="1">
        <v>0</v>
      </c>
      <c r="AD656" s="41">
        <v>6500</v>
      </c>
      <c r="AE656" s="1">
        <f t="shared" ref="AE656" si="647">AD656-AC656</f>
        <v>6500</v>
      </c>
      <c r="AF656" s="1">
        <f t="shared" ref="AF656" si="648">AC656+AE656</f>
        <v>6500</v>
      </c>
    </row>
    <row r="657" spans="1:32" s="2" customFormat="1" outlineLevel="1">
      <c r="A657" s="9" t="s">
        <v>0</v>
      </c>
      <c r="B657" s="9"/>
      <c r="C657" s="9" t="s">
        <v>48</v>
      </c>
      <c r="D657" s="8">
        <f>SUBTOTAL(9,D619:D652)</f>
        <v>598840.54</v>
      </c>
      <c r="E657" s="8">
        <f>SUBTOTAL(9,E619:E652)</f>
        <v>281660.03999999998</v>
      </c>
      <c r="F657" s="8">
        <f>SUBTOTAL(9,F619:F652)</f>
        <v>317180.5</v>
      </c>
      <c r="G657" s="8">
        <f>SUBTOTAL(9,G619:G652)</f>
        <v>37435.760000000009</v>
      </c>
      <c r="H657" s="8">
        <f t="shared" ref="H657:O657" si="649">SUBTOTAL(9,H619:H655)</f>
        <v>694110.2300000001</v>
      </c>
      <c r="I657" s="8">
        <f t="shared" si="649"/>
        <v>246428.65999999997</v>
      </c>
      <c r="J657" s="8">
        <f t="shared" si="649"/>
        <v>447681.57</v>
      </c>
      <c r="K657" s="8">
        <f t="shared" si="649"/>
        <v>24434.689999999995</v>
      </c>
      <c r="L657" s="8">
        <f t="shared" si="649"/>
        <v>718544.91999999993</v>
      </c>
      <c r="M657" s="8">
        <f t="shared" si="649"/>
        <v>519416.44</v>
      </c>
      <c r="N657" s="8">
        <f t="shared" si="649"/>
        <v>1237961.3600000001</v>
      </c>
      <c r="O657" s="8">
        <f t="shared" si="649"/>
        <v>241335.68000000002</v>
      </c>
      <c r="P657" s="8">
        <f>SUBTOTAL(9,P619:P655)</f>
        <v>109586.58000000002</v>
      </c>
      <c r="Q657" s="8">
        <f>SUBTOTAL(9,Q619:Q655)</f>
        <v>1347547.9400000002</v>
      </c>
      <c r="R657" s="3"/>
      <c r="S657" s="8">
        <f>SUBTOTAL(9,S619:S655)</f>
        <v>-93526.57</v>
      </c>
      <c r="T657" s="8">
        <f>SUBTOTAL(9,T619:T655)</f>
        <v>1274518.0999999999</v>
      </c>
      <c r="U657" s="8">
        <f t="shared" ref="U657:AB657" si="650">SUBTOTAL(9,U619:U655)</f>
        <v>1377064.55</v>
      </c>
      <c r="V657" s="8">
        <f t="shared" si="650"/>
        <v>102546.45000000001</v>
      </c>
      <c r="W657" s="8">
        <f t="shared" si="650"/>
        <v>1377064.55</v>
      </c>
      <c r="X657" s="8">
        <f>SUBTOTAL(9,X619:X655)</f>
        <v>594268.16999999993</v>
      </c>
      <c r="Y657" s="8">
        <f t="shared" si="650"/>
        <v>-782796.38</v>
      </c>
      <c r="Z657" s="8">
        <f t="shared" si="650"/>
        <v>594268.16999999993</v>
      </c>
      <c r="AA657" s="8">
        <f t="shared" si="650"/>
        <v>654603.84000000008</v>
      </c>
      <c r="AB657" s="8">
        <f t="shared" si="650"/>
        <v>60335.670000000013</v>
      </c>
      <c r="AC657" s="8">
        <f>SUBTOTAL(9,AC619:AC656)</f>
        <v>654603.84000000008</v>
      </c>
      <c r="AD657" s="8">
        <f>SUBTOTAL(9,AD619:AD656)</f>
        <v>837925.12</v>
      </c>
      <c r="AE657" s="8">
        <f t="shared" ref="AE657:AF657" si="651">SUBTOTAL(9,AE619:AE656)</f>
        <v>183321.28000000003</v>
      </c>
      <c r="AF657" s="8">
        <f t="shared" si="651"/>
        <v>837925.12</v>
      </c>
    </row>
    <row r="658" spans="1:32" s="2" customFormat="1" outlineLevel="1">
      <c r="A658" s="13">
        <v>43210</v>
      </c>
      <c r="B658" s="11">
        <v>12004</v>
      </c>
      <c r="C658" s="42" t="s">
        <v>877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3"/>
      <c r="S658" s="8"/>
      <c r="T658" s="8"/>
      <c r="U658" s="8"/>
      <c r="V658" s="8"/>
      <c r="W658" s="8"/>
      <c r="X658" s="8"/>
      <c r="Y658" s="8"/>
      <c r="Z658" s="47">
        <v>0</v>
      </c>
      <c r="AA658" s="47">
        <v>8547.08</v>
      </c>
      <c r="AB658" s="41">
        <f t="shared" ref="AB658:AB663" si="652">AA658-Z658</f>
        <v>8547.08</v>
      </c>
      <c r="AC658" s="1">
        <f t="shared" ref="AC658:AC663" si="653">Z658+AB658</f>
        <v>8547.08</v>
      </c>
      <c r="AD658" s="41">
        <v>8675.39</v>
      </c>
      <c r="AE658" s="1">
        <f t="shared" ref="AE658:AE671" si="654">AD658-AC658</f>
        <v>128.30999999999949</v>
      </c>
      <c r="AF658" s="1">
        <f t="shared" ref="AF658:AF671" si="655">AC658+AE658</f>
        <v>8675.39</v>
      </c>
    </row>
    <row r="659" spans="1:32" s="2" customFormat="1" outlineLevel="1">
      <c r="A659" s="13">
        <v>43210</v>
      </c>
      <c r="B659" s="11">
        <v>12006</v>
      </c>
      <c r="C659" s="11" t="s">
        <v>81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3"/>
      <c r="S659" s="8"/>
      <c r="T659" s="8"/>
      <c r="U659" s="8"/>
      <c r="V659" s="8"/>
      <c r="W659" s="8"/>
      <c r="X659" s="8"/>
      <c r="Y659" s="8"/>
      <c r="Z659" s="47">
        <v>0</v>
      </c>
      <c r="AA659" s="47">
        <v>730.43</v>
      </c>
      <c r="AB659" s="41">
        <f t="shared" si="652"/>
        <v>730.43</v>
      </c>
      <c r="AC659" s="1">
        <f t="shared" si="653"/>
        <v>730.43</v>
      </c>
      <c r="AD659" s="41">
        <v>778.85</v>
      </c>
      <c r="AE659" s="1">
        <f t="shared" si="654"/>
        <v>48.420000000000073</v>
      </c>
      <c r="AF659" s="1">
        <f t="shared" si="655"/>
        <v>778.85</v>
      </c>
    </row>
    <row r="660" spans="1:32" s="2" customFormat="1" outlineLevel="1">
      <c r="A660" s="13">
        <v>43210</v>
      </c>
      <c r="B660" s="11">
        <v>12100</v>
      </c>
      <c r="C660" s="42" t="s">
        <v>878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3"/>
      <c r="S660" s="8"/>
      <c r="T660" s="8"/>
      <c r="U660" s="8"/>
      <c r="V660" s="8"/>
      <c r="W660" s="8"/>
      <c r="X660" s="8"/>
      <c r="Y660" s="8"/>
      <c r="Z660" s="47">
        <v>0</v>
      </c>
      <c r="AA660" s="47">
        <v>4997.5</v>
      </c>
      <c r="AB660" s="41">
        <f t="shared" si="652"/>
        <v>4997.5</v>
      </c>
      <c r="AC660" s="1">
        <f t="shared" si="653"/>
        <v>4997.5</v>
      </c>
      <c r="AD660" s="41">
        <v>5072.54</v>
      </c>
      <c r="AE660" s="1">
        <f t="shared" si="654"/>
        <v>75.039999999999964</v>
      </c>
      <c r="AF660" s="1">
        <f t="shared" si="655"/>
        <v>5072.54</v>
      </c>
    </row>
    <row r="661" spans="1:32" s="2" customFormat="1" outlineLevel="1">
      <c r="A661" s="13">
        <v>43210</v>
      </c>
      <c r="B661" s="11">
        <v>12101</v>
      </c>
      <c r="C661" s="42" t="s">
        <v>879</v>
      </c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3"/>
      <c r="S661" s="8"/>
      <c r="T661" s="8"/>
      <c r="U661" s="8"/>
      <c r="V661" s="8"/>
      <c r="W661" s="8"/>
      <c r="X661" s="8"/>
      <c r="Y661" s="8"/>
      <c r="Z661" s="47">
        <v>0</v>
      </c>
      <c r="AA661" s="47">
        <v>7122.6</v>
      </c>
      <c r="AB661" s="41">
        <f t="shared" si="652"/>
        <v>7122.6</v>
      </c>
      <c r="AC661" s="1">
        <f t="shared" si="653"/>
        <v>7122.6</v>
      </c>
      <c r="AD661" s="41">
        <v>7229.34</v>
      </c>
      <c r="AE661" s="1">
        <f t="shared" si="654"/>
        <v>106.73999999999978</v>
      </c>
      <c r="AF661" s="1">
        <f t="shared" si="655"/>
        <v>7229.34</v>
      </c>
    </row>
    <row r="662" spans="1:32" s="2" customFormat="1" outlineLevel="1">
      <c r="A662" s="13">
        <v>43210</v>
      </c>
      <c r="B662" s="11">
        <v>13000</v>
      </c>
      <c r="C662" s="42" t="s">
        <v>880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3"/>
      <c r="S662" s="8"/>
      <c r="T662" s="8"/>
      <c r="U662" s="8"/>
      <c r="V662" s="8"/>
      <c r="W662" s="8"/>
      <c r="X662" s="8"/>
      <c r="Y662" s="8"/>
      <c r="Z662" s="47">
        <v>0</v>
      </c>
      <c r="AA662" s="47">
        <v>14748.06</v>
      </c>
      <c r="AB662" s="41">
        <f t="shared" si="652"/>
        <v>14748.06</v>
      </c>
      <c r="AC662" s="1">
        <f t="shared" si="653"/>
        <v>14748.06</v>
      </c>
      <c r="AD662" s="41">
        <v>15380.18</v>
      </c>
      <c r="AE662" s="1">
        <f t="shared" si="654"/>
        <v>632.1200000000008</v>
      </c>
      <c r="AF662" s="1">
        <f t="shared" si="655"/>
        <v>15380.18</v>
      </c>
    </row>
    <row r="663" spans="1:32" s="2" customFormat="1" outlineLevel="1">
      <c r="A663" s="13">
        <v>43210</v>
      </c>
      <c r="B663" s="11">
        <v>13002</v>
      </c>
      <c r="C663" s="42" t="s">
        <v>881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3"/>
      <c r="S663" s="8"/>
      <c r="T663" s="8"/>
      <c r="U663" s="8"/>
      <c r="V663" s="8"/>
      <c r="W663" s="8"/>
      <c r="X663" s="8"/>
      <c r="Y663" s="8"/>
      <c r="Z663" s="47">
        <v>0</v>
      </c>
      <c r="AA663" s="47">
        <v>18765.48</v>
      </c>
      <c r="AB663" s="41">
        <f t="shared" si="652"/>
        <v>18765.48</v>
      </c>
      <c r="AC663" s="1">
        <f t="shared" si="653"/>
        <v>18765.48</v>
      </c>
      <c r="AD663" s="41">
        <v>19046.939999999999</v>
      </c>
      <c r="AE663" s="1">
        <f t="shared" si="654"/>
        <v>281.45999999999913</v>
      </c>
      <c r="AF663" s="1">
        <f t="shared" si="655"/>
        <v>19046.939999999999</v>
      </c>
    </row>
    <row r="664" spans="1:32" s="2" customFormat="1" outlineLevel="1">
      <c r="A664" s="42">
        <v>43210</v>
      </c>
      <c r="B664" s="11">
        <v>16000</v>
      </c>
      <c r="C664" s="42" t="s">
        <v>882</v>
      </c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3"/>
      <c r="S664" s="8"/>
      <c r="T664" s="8"/>
      <c r="U664" s="8"/>
      <c r="V664" s="8"/>
      <c r="W664" s="8"/>
      <c r="X664" s="8"/>
      <c r="Y664" s="8"/>
      <c r="Z664" s="47">
        <v>0</v>
      </c>
      <c r="AA664" s="47">
        <v>0</v>
      </c>
      <c r="AB664" s="41">
        <f t="shared" ref="AB664" si="656">AA664-Z664</f>
        <v>0</v>
      </c>
      <c r="AC664" s="1">
        <f t="shared" ref="AC664" si="657">Z664+AB664</f>
        <v>0</v>
      </c>
      <c r="AD664" s="41">
        <v>16051.67</v>
      </c>
      <c r="AE664" s="1">
        <f t="shared" si="654"/>
        <v>16051.67</v>
      </c>
      <c r="AF664" s="1">
        <f t="shared" si="655"/>
        <v>16051.67</v>
      </c>
    </row>
    <row r="665" spans="1:32" s="2" customFormat="1" outlineLevel="1">
      <c r="A665" s="13">
        <v>43210</v>
      </c>
      <c r="B665" s="11">
        <v>22602</v>
      </c>
      <c r="C665" s="42" t="s">
        <v>842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3"/>
      <c r="S665" s="8"/>
      <c r="T665" s="8"/>
      <c r="U665" s="8"/>
      <c r="V665" s="8"/>
      <c r="W665" s="8"/>
      <c r="X665" s="8"/>
      <c r="Y665" s="8"/>
      <c r="Z665" s="47">
        <v>0</v>
      </c>
      <c r="AA665" s="47">
        <f>10000</f>
        <v>10000</v>
      </c>
      <c r="AB665" s="41">
        <f t="shared" si="608"/>
        <v>10000</v>
      </c>
      <c r="AC665" s="1">
        <f t="shared" si="634"/>
        <v>10000</v>
      </c>
      <c r="AD665" s="41">
        <v>15000</v>
      </c>
      <c r="AE665" s="1">
        <f t="shared" si="654"/>
        <v>5000</v>
      </c>
      <c r="AF665" s="1">
        <f t="shared" si="655"/>
        <v>15000</v>
      </c>
    </row>
    <row r="666" spans="1:32" s="2" customFormat="1" outlineLevel="1">
      <c r="A666" s="13">
        <v>43210</v>
      </c>
      <c r="B666" s="11">
        <v>22606</v>
      </c>
      <c r="C666" s="42" t="s">
        <v>843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3"/>
      <c r="S666" s="8"/>
      <c r="T666" s="8"/>
      <c r="U666" s="8"/>
      <c r="V666" s="8"/>
      <c r="W666" s="8"/>
      <c r="X666" s="8"/>
      <c r="Y666" s="8"/>
      <c r="Z666" s="47">
        <v>0</v>
      </c>
      <c r="AA666" s="47">
        <f>20000+18000</f>
        <v>38000</v>
      </c>
      <c r="AB666" s="41">
        <f t="shared" si="608"/>
        <v>38000</v>
      </c>
      <c r="AC666" s="1">
        <f t="shared" si="634"/>
        <v>38000</v>
      </c>
      <c r="AD666" s="41">
        <v>30000</v>
      </c>
      <c r="AE666" s="1">
        <f t="shared" si="654"/>
        <v>-8000</v>
      </c>
      <c r="AF666" s="1">
        <f t="shared" si="655"/>
        <v>30000</v>
      </c>
    </row>
    <row r="667" spans="1:32" s="2" customFormat="1" outlineLevel="1">
      <c r="A667" s="42">
        <v>43210</v>
      </c>
      <c r="B667" s="11">
        <v>22699</v>
      </c>
      <c r="C667" s="42" t="s">
        <v>256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3"/>
      <c r="S667" s="8"/>
      <c r="T667" s="8"/>
      <c r="U667" s="8"/>
      <c r="V667" s="8"/>
      <c r="W667" s="8"/>
      <c r="X667" s="8"/>
      <c r="Y667" s="8"/>
      <c r="Z667" s="47">
        <v>0</v>
      </c>
      <c r="AA667" s="47">
        <v>1000</v>
      </c>
      <c r="AB667" s="41">
        <f t="shared" si="608"/>
        <v>1000</v>
      </c>
      <c r="AC667" s="1">
        <f t="shared" si="634"/>
        <v>1000</v>
      </c>
      <c r="AD667" s="41">
        <v>15000</v>
      </c>
      <c r="AE667" s="1">
        <f t="shared" si="654"/>
        <v>14000</v>
      </c>
      <c r="AF667" s="1">
        <f t="shared" si="655"/>
        <v>15000</v>
      </c>
    </row>
    <row r="668" spans="1:32" s="2" customFormat="1" outlineLevel="1">
      <c r="A668" s="13">
        <v>43210</v>
      </c>
      <c r="B668" s="11">
        <v>22706</v>
      </c>
      <c r="C668" s="11" t="s">
        <v>257</v>
      </c>
      <c r="D668" s="7">
        <v>68544</v>
      </c>
      <c r="E668" s="7"/>
      <c r="F668" s="7">
        <f t="shared" ref="F668" si="658">D668-E668</f>
        <v>68544</v>
      </c>
      <c r="G668" s="7">
        <v>-1544</v>
      </c>
      <c r="H668" s="7">
        <f t="shared" ref="H668" si="659">D668+G668</f>
        <v>67000</v>
      </c>
      <c r="I668" s="1"/>
      <c r="J668" s="1">
        <f t="shared" ref="J668" si="660">H668-I668</f>
        <v>67000</v>
      </c>
      <c r="K668" s="1"/>
      <c r="L668" s="1">
        <f t="shared" ref="L668" si="661">H668+K668</f>
        <v>67000</v>
      </c>
      <c r="M668" s="7">
        <v>474596</v>
      </c>
      <c r="N668" s="1">
        <f t="shared" ref="N668" si="662">L668+M668</f>
        <v>541596</v>
      </c>
      <c r="O668" s="1"/>
      <c r="P668" s="1"/>
      <c r="Q668" s="1">
        <f t="shared" ref="Q668" si="663">N668+P668</f>
        <v>541596</v>
      </c>
      <c r="R668" s="1"/>
      <c r="S668" s="1"/>
      <c r="T668" s="1">
        <f t="shared" ref="T668" si="664">Q668+S668</f>
        <v>541596</v>
      </c>
      <c r="U668" s="1">
        <v>600000</v>
      </c>
      <c r="V668" s="1">
        <f t="shared" ref="V668" si="665">U668-T668</f>
        <v>58404</v>
      </c>
      <c r="W668" s="1">
        <v>0</v>
      </c>
      <c r="X668" s="1">
        <f>500165.96+75226.35+24722.72</f>
        <v>600115.03</v>
      </c>
      <c r="Y668" s="41">
        <f t="shared" ref="Y668" si="666">X668-W668</f>
        <v>600115.03</v>
      </c>
      <c r="Z668" s="47">
        <v>0</v>
      </c>
      <c r="AA668" s="41">
        <v>57000</v>
      </c>
      <c r="AB668" s="41">
        <f t="shared" si="608"/>
        <v>57000</v>
      </c>
      <c r="AC668" s="1">
        <f t="shared" si="634"/>
        <v>57000</v>
      </c>
      <c r="AD668" s="41">
        <v>60000</v>
      </c>
      <c r="AE668" s="1">
        <f t="shared" si="654"/>
        <v>3000</v>
      </c>
      <c r="AF668" s="1">
        <f t="shared" si="655"/>
        <v>60000</v>
      </c>
    </row>
    <row r="669" spans="1:32" s="2" customFormat="1" outlineLevel="1">
      <c r="A669" s="13">
        <v>43210</v>
      </c>
      <c r="B669" s="11">
        <v>23020</v>
      </c>
      <c r="C669" s="42" t="s">
        <v>845</v>
      </c>
      <c r="D669" s="8">
        <f>SUBTOTAL(9,D622:D655)</f>
        <v>608840.54</v>
      </c>
      <c r="E669" s="8">
        <f>SUBTOTAL(9,E622:E655)</f>
        <v>263873.77</v>
      </c>
      <c r="F669" s="8">
        <f>SUBTOTAL(9,F622:F655)</f>
        <v>344966.77000000008</v>
      </c>
      <c r="G669" s="8">
        <f>SUBTOTAL(9,G622:G655)</f>
        <v>9649.489999999998</v>
      </c>
      <c r="H669" s="8">
        <f t="shared" ref="H669:Q669" si="667">SUBTOTAL(9,H622:H668)</f>
        <v>685490.03</v>
      </c>
      <c r="I669" s="8">
        <f t="shared" si="667"/>
        <v>150684.29</v>
      </c>
      <c r="J669" s="8">
        <f t="shared" si="667"/>
        <v>534805.74</v>
      </c>
      <c r="K669" s="8">
        <f t="shared" si="667"/>
        <v>4310.5199999999968</v>
      </c>
      <c r="L669" s="8">
        <f t="shared" si="667"/>
        <v>689800.55</v>
      </c>
      <c r="M669" s="8">
        <f t="shared" si="667"/>
        <v>995408.87</v>
      </c>
      <c r="N669" s="8">
        <f t="shared" si="667"/>
        <v>1685209.42</v>
      </c>
      <c r="O669" s="8">
        <f t="shared" si="667"/>
        <v>146987.74</v>
      </c>
      <c r="P669" s="8">
        <f t="shared" si="667"/>
        <v>109586.58000000002</v>
      </c>
      <c r="Q669" s="8">
        <f t="shared" si="667"/>
        <v>1794796</v>
      </c>
      <c r="R669" s="3"/>
      <c r="S669" s="8">
        <f>SUBTOTAL(9,S622:S668)</f>
        <v>-93526.57</v>
      </c>
      <c r="T669" s="8">
        <f>SUBTOTAL(9,T622:T668)</f>
        <v>1721766.16</v>
      </c>
      <c r="U669" s="8">
        <f>SUBTOTAL(9,U622:U668)</f>
        <v>1874338.03</v>
      </c>
      <c r="V669" s="8">
        <f>SUBTOTAL(9,V622:V668)</f>
        <v>152571.87</v>
      </c>
      <c r="W669" s="8">
        <f>SUBTOTAL(9,W622:W668)</f>
        <v>1274338.03</v>
      </c>
      <c r="X669" s="8">
        <f>SUBTOTAL(9,X668:X668)</f>
        <v>600115.03</v>
      </c>
      <c r="Y669" s="8">
        <f>SUBTOTAL(9,Y668:Y668)</f>
        <v>600115.03</v>
      </c>
      <c r="Z669" s="47">
        <v>0</v>
      </c>
      <c r="AA669" s="47">
        <v>5000</v>
      </c>
      <c r="AB669" s="41">
        <f t="shared" si="608"/>
        <v>5000</v>
      </c>
      <c r="AC669" s="1">
        <f t="shared" si="634"/>
        <v>5000</v>
      </c>
      <c r="AD669" s="41">
        <v>5000</v>
      </c>
      <c r="AE669" s="1">
        <f t="shared" si="654"/>
        <v>0</v>
      </c>
      <c r="AF669" s="1">
        <f t="shared" si="655"/>
        <v>5000</v>
      </c>
    </row>
    <row r="670" spans="1:32" s="2" customFormat="1" outlineLevel="1">
      <c r="A670" s="13">
        <v>43210</v>
      </c>
      <c r="B670" s="11">
        <v>23120</v>
      </c>
      <c r="C670" s="42" t="s">
        <v>846</v>
      </c>
      <c r="D670" s="7">
        <v>0</v>
      </c>
      <c r="E670" s="7">
        <v>24910.52</v>
      </c>
      <c r="F670" s="7">
        <f t="shared" ref="F670:F735" si="668">D670-E670</f>
        <v>-24910.52</v>
      </c>
      <c r="G670" s="7">
        <v>24910.52</v>
      </c>
      <c r="H670" s="7">
        <f t="shared" ref="H670:H707" si="669">D670+G670</f>
        <v>24910.52</v>
      </c>
      <c r="I670" s="1">
        <v>0</v>
      </c>
      <c r="J670" s="1">
        <f t="shared" si="642"/>
        <v>24910.52</v>
      </c>
      <c r="K670" s="1">
        <v>-24910.52</v>
      </c>
      <c r="L670" s="1">
        <f t="shared" ref="L670:L707" si="670">H670+K670</f>
        <v>0</v>
      </c>
      <c r="M670" s="7">
        <f>9884.84</f>
        <v>9884.84</v>
      </c>
      <c r="N670" s="1">
        <f t="shared" ref="N670:N707" si="671">L670+M670</f>
        <v>9884.84</v>
      </c>
      <c r="O670" s="1">
        <v>9884.84</v>
      </c>
      <c r="P670" s="1">
        <f t="shared" ref="P670:P690" si="672">O670-N670</f>
        <v>0</v>
      </c>
      <c r="Q670" s="1">
        <f t="shared" ref="Q670:Q707" si="673">N670+P670</f>
        <v>9884.84</v>
      </c>
      <c r="R670" s="41">
        <v>9884.84</v>
      </c>
      <c r="S670" s="1">
        <f t="shared" ref="S670:S690" si="674">R670-Q670</f>
        <v>0</v>
      </c>
      <c r="T670" s="1">
        <f t="shared" ref="T670:U707" si="675">Q670+S670</f>
        <v>9884.84</v>
      </c>
      <c r="U670" s="41">
        <v>0</v>
      </c>
      <c r="V670" s="1">
        <f t="shared" ref="V670:V707" si="676">U670-T670</f>
        <v>-9884.84</v>
      </c>
      <c r="W670" s="1">
        <f t="shared" ref="W670:W707" si="677">T670+V670</f>
        <v>0</v>
      </c>
      <c r="X670" s="41">
        <v>928.72</v>
      </c>
      <c r="Y670" s="41">
        <f t="shared" si="639"/>
        <v>928.72</v>
      </c>
      <c r="Z670" s="47">
        <v>0</v>
      </c>
      <c r="AA670" s="41">
        <v>5000</v>
      </c>
      <c r="AB670" s="41">
        <f t="shared" si="608"/>
        <v>5000</v>
      </c>
      <c r="AC670" s="1">
        <f t="shared" si="634"/>
        <v>5000</v>
      </c>
      <c r="AD670" s="41">
        <v>5000</v>
      </c>
      <c r="AE670" s="1">
        <f t="shared" si="654"/>
        <v>0</v>
      </c>
      <c r="AF670" s="1">
        <f t="shared" si="655"/>
        <v>5000</v>
      </c>
    </row>
    <row r="671" spans="1:32" s="2" customFormat="1" outlineLevel="1">
      <c r="A671" s="42">
        <v>43210</v>
      </c>
      <c r="B671" s="11">
        <v>48100</v>
      </c>
      <c r="C671" s="39" t="s">
        <v>844</v>
      </c>
      <c r="D671" s="7"/>
      <c r="E671" s="7"/>
      <c r="F671" s="7"/>
      <c r="G671" s="7"/>
      <c r="H671" s="7"/>
      <c r="I671" s="1"/>
      <c r="J671" s="1"/>
      <c r="K671" s="1"/>
      <c r="L671" s="1"/>
      <c r="M671" s="7"/>
      <c r="N671" s="1"/>
      <c r="O671" s="1"/>
      <c r="P671" s="1"/>
      <c r="Q671" s="1"/>
      <c r="R671" s="41"/>
      <c r="S671" s="1"/>
      <c r="T671" s="1"/>
      <c r="U671" s="41"/>
      <c r="V671" s="1"/>
      <c r="W671" s="1"/>
      <c r="X671" s="41"/>
      <c r="Y671" s="41"/>
      <c r="Z671" s="47">
        <v>0</v>
      </c>
      <c r="AA671" s="41">
        <v>20000</v>
      </c>
      <c r="AB671" s="41">
        <f t="shared" si="608"/>
        <v>20000</v>
      </c>
      <c r="AC671" s="1">
        <f t="shared" si="634"/>
        <v>20000</v>
      </c>
      <c r="AD671" s="41">
        <v>15000</v>
      </c>
      <c r="AE671" s="7">
        <f t="shared" si="654"/>
        <v>-5000</v>
      </c>
      <c r="AF671" s="1">
        <f t="shared" si="655"/>
        <v>15000</v>
      </c>
    </row>
    <row r="672" spans="1:32" s="2" customFormat="1" outlineLevel="1">
      <c r="A672" s="9" t="s">
        <v>840</v>
      </c>
      <c r="B672" s="9"/>
      <c r="C672" s="9" t="s">
        <v>841</v>
      </c>
      <c r="D672" s="8">
        <f>SUBTOTAL(9,D627:D667)</f>
        <v>513234.91000000003</v>
      </c>
      <c r="E672" s="8">
        <f>SUBTOTAL(9,E627:E667)</f>
        <v>175333.93</v>
      </c>
      <c r="F672" s="8">
        <f>SUBTOTAL(9,F627:F667)</f>
        <v>337900.98000000004</v>
      </c>
      <c r="G672" s="8">
        <f>SUBTOTAL(9,G627:G667)</f>
        <v>16715.28</v>
      </c>
      <c r="H672" s="8">
        <f t="shared" ref="H672:O672" si="678">SUBTOTAL(9,H627:H670)</f>
        <v>621860.71000000008</v>
      </c>
      <c r="I672" s="8">
        <f t="shared" si="678"/>
        <v>0</v>
      </c>
      <c r="J672" s="8">
        <f t="shared" si="678"/>
        <v>621860.71000000008</v>
      </c>
      <c r="K672" s="8">
        <f t="shared" si="678"/>
        <v>-82744.45</v>
      </c>
      <c r="L672" s="8">
        <f t="shared" si="678"/>
        <v>539116.26</v>
      </c>
      <c r="M672" s="8">
        <f t="shared" si="678"/>
        <v>1010576.84</v>
      </c>
      <c r="N672" s="8">
        <f t="shared" si="678"/>
        <v>1549693.1</v>
      </c>
      <c r="O672" s="8">
        <f t="shared" si="678"/>
        <v>9884.84</v>
      </c>
      <c r="P672" s="8">
        <f>SUBTOTAL(9,P627:P670)</f>
        <v>108000</v>
      </c>
      <c r="Q672" s="8">
        <f>SUBTOTAL(9,Q627:Q670)</f>
        <v>1657693.1</v>
      </c>
      <c r="R672" s="3"/>
      <c r="S672" s="8">
        <f t="shared" ref="S672:Y672" si="679">SUBTOTAL(9,S627:S670)</f>
        <v>-96500</v>
      </c>
      <c r="T672" s="8">
        <f t="shared" si="679"/>
        <v>1581689.83</v>
      </c>
      <c r="U672" s="8">
        <f t="shared" si="679"/>
        <v>1711208.73</v>
      </c>
      <c r="V672" s="8">
        <f t="shared" si="679"/>
        <v>129518.9</v>
      </c>
      <c r="W672" s="8">
        <f t="shared" si="679"/>
        <v>1111208.73</v>
      </c>
      <c r="X672" s="8">
        <f t="shared" si="679"/>
        <v>939753.75</v>
      </c>
      <c r="Y672" s="8">
        <f t="shared" si="679"/>
        <v>-171454.97999999995</v>
      </c>
      <c r="Z672" s="8">
        <f>SUBTOTAL(9,Z658:Z671)</f>
        <v>0</v>
      </c>
      <c r="AA672" s="8">
        <f t="shared" ref="AA672:AF672" si="680">SUBTOTAL(9,AA658:AA671)</f>
        <v>190911.15</v>
      </c>
      <c r="AB672" s="8">
        <f t="shared" si="680"/>
        <v>190911.15</v>
      </c>
      <c r="AC672" s="8">
        <f t="shared" si="680"/>
        <v>190911.15</v>
      </c>
      <c r="AD672" s="8">
        <f t="shared" si="680"/>
        <v>217234.91</v>
      </c>
      <c r="AE672" s="8">
        <f t="shared" si="680"/>
        <v>26323.759999999998</v>
      </c>
      <c r="AF672" s="8">
        <f t="shared" si="680"/>
        <v>217234.91</v>
      </c>
    </row>
    <row r="673" spans="1:32" s="40" customFormat="1" outlineLevel="1">
      <c r="A673" s="42">
        <v>43900</v>
      </c>
      <c r="B673" s="42">
        <v>20900</v>
      </c>
      <c r="C673" s="42" t="s">
        <v>939</v>
      </c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1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>
        <v>0</v>
      </c>
      <c r="AD673" s="41">
        <v>65000</v>
      </c>
      <c r="AE673" s="1">
        <f t="shared" ref="AE673" si="681">AD673-AC673</f>
        <v>65000</v>
      </c>
      <c r="AF673" s="1">
        <f t="shared" ref="AF673" si="682">AC673+AE673</f>
        <v>65000</v>
      </c>
    </row>
    <row r="674" spans="1:32" s="2" customFormat="1" outlineLevel="1">
      <c r="A674" s="13">
        <v>43900</v>
      </c>
      <c r="B674" s="11">
        <v>22500</v>
      </c>
      <c r="C674" s="42" t="s">
        <v>859</v>
      </c>
      <c r="D674" s="8">
        <f>SUBTOTAL(9,D626:D667)</f>
        <v>522734.91000000003</v>
      </c>
      <c r="E674" s="8">
        <f>SUBTOTAL(9,E626:E667)</f>
        <v>179333.93</v>
      </c>
      <c r="F674" s="8">
        <f>SUBTOTAL(9,F626:F667)</f>
        <v>343400.98000000004</v>
      </c>
      <c r="G674" s="8">
        <f>SUBTOTAL(9,G626:G667)</f>
        <v>11215.279999999999</v>
      </c>
      <c r="H674" s="8">
        <f t="shared" ref="H674:O674" si="683">SUBTOTAL(9,H626:H672)</f>
        <v>625860.71000000008</v>
      </c>
      <c r="I674" s="8">
        <f t="shared" si="683"/>
        <v>4000</v>
      </c>
      <c r="J674" s="8">
        <f t="shared" si="683"/>
        <v>621860.71000000008</v>
      </c>
      <c r="K674" s="8">
        <f t="shared" si="683"/>
        <v>-82744.45</v>
      </c>
      <c r="L674" s="8">
        <f t="shared" si="683"/>
        <v>543116.26</v>
      </c>
      <c r="M674" s="8">
        <f t="shared" si="683"/>
        <v>1006576.84</v>
      </c>
      <c r="N674" s="8">
        <f t="shared" si="683"/>
        <v>1549693.1</v>
      </c>
      <c r="O674" s="8">
        <f t="shared" si="683"/>
        <v>10884.84</v>
      </c>
      <c r="P674" s="8">
        <f>SUBTOTAL(9,P626:P672)</f>
        <v>109000</v>
      </c>
      <c r="Q674" s="8">
        <f>SUBTOTAL(9,Q626:Q672)</f>
        <v>1658693.1</v>
      </c>
      <c r="R674" s="3"/>
      <c r="S674" s="8">
        <f>SUBTOTAL(9,S626:S672)</f>
        <v>-97500</v>
      </c>
      <c r="T674" s="8">
        <f>SUBTOTAL(9,T626:T672)</f>
        <v>1581689.83</v>
      </c>
      <c r="U674" s="8">
        <f t="shared" ref="U674:W674" si="684">SUBTOTAL(9,U626:U672)</f>
        <v>1711208.73</v>
      </c>
      <c r="V674" s="8">
        <f t="shared" si="684"/>
        <v>129518.9</v>
      </c>
      <c r="W674" s="8">
        <f t="shared" si="684"/>
        <v>1111208.73</v>
      </c>
      <c r="X674" s="8">
        <f>SUBTOTAL(9,X671:X672)</f>
        <v>0</v>
      </c>
      <c r="Y674" s="8">
        <f>SUBTOTAL(9,Y671:Y672)</f>
        <v>0</v>
      </c>
      <c r="Z674" s="47">
        <v>65000</v>
      </c>
      <c r="AA674" s="47">
        <v>65000</v>
      </c>
      <c r="AB674" s="41">
        <f t="shared" ref="AB674:AB677" si="685">AA674-Z674</f>
        <v>0</v>
      </c>
      <c r="AC674" s="1">
        <f t="shared" ref="AC674:AC677" si="686">Z674+AB674</f>
        <v>65000</v>
      </c>
      <c r="AD674" s="41">
        <v>0</v>
      </c>
      <c r="AE674" s="1">
        <f t="shared" ref="AE674:AE677" si="687">AD674-AC674</f>
        <v>-65000</v>
      </c>
      <c r="AF674" s="1">
        <f t="shared" ref="AF674:AF677" si="688">AC674+AE674</f>
        <v>0</v>
      </c>
    </row>
    <row r="675" spans="1:32" s="2" customFormat="1" outlineLevel="1">
      <c r="A675" s="42">
        <v>43900</v>
      </c>
      <c r="B675" s="11">
        <v>21000</v>
      </c>
      <c r="C675" s="42" t="s">
        <v>911</v>
      </c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3"/>
      <c r="S675" s="8"/>
      <c r="T675" s="8"/>
      <c r="U675" s="8"/>
      <c r="V675" s="8"/>
      <c r="W675" s="8"/>
      <c r="X675" s="8"/>
      <c r="Y675" s="8"/>
      <c r="Z675" s="47"/>
      <c r="AA675" s="47"/>
      <c r="AB675" s="41"/>
      <c r="AC675" s="1">
        <v>0</v>
      </c>
      <c r="AD675" s="41">
        <f>46500+10000</f>
        <v>56500</v>
      </c>
      <c r="AE675" s="1">
        <f t="shared" ref="AE675" si="689">AD675-AC675</f>
        <v>56500</v>
      </c>
      <c r="AF675" s="1">
        <f t="shared" ref="AF675" si="690">AC675+AE675</f>
        <v>56500</v>
      </c>
    </row>
    <row r="676" spans="1:32" s="2" customFormat="1" outlineLevel="1">
      <c r="A676" s="13">
        <v>43900</v>
      </c>
      <c r="B676" s="11">
        <v>22699</v>
      </c>
      <c r="C676" s="42" t="s">
        <v>256</v>
      </c>
      <c r="D676" s="7">
        <v>0</v>
      </c>
      <c r="E676" s="7">
        <v>24910.52</v>
      </c>
      <c r="F676" s="7">
        <f t="shared" ref="F676" si="691">D676-E676</f>
        <v>-24910.52</v>
      </c>
      <c r="G676" s="7">
        <v>24910.52</v>
      </c>
      <c r="H676" s="7">
        <f t="shared" ref="H676" si="692">D676+G676</f>
        <v>24910.52</v>
      </c>
      <c r="I676" s="1">
        <v>0</v>
      </c>
      <c r="J676" s="1">
        <f t="shared" ref="J676" si="693">H676-I676</f>
        <v>24910.52</v>
      </c>
      <c r="K676" s="1">
        <v>-24910.52</v>
      </c>
      <c r="L676" s="1">
        <f t="shared" ref="L676" si="694">H676+K676</f>
        <v>0</v>
      </c>
      <c r="M676" s="7">
        <f>9884.84</f>
        <v>9884.84</v>
      </c>
      <c r="N676" s="1">
        <f t="shared" ref="N676" si="695">L676+M676</f>
        <v>9884.84</v>
      </c>
      <c r="O676" s="1">
        <v>9884.84</v>
      </c>
      <c r="P676" s="1">
        <f t="shared" ref="P676" si="696">O676-N676</f>
        <v>0</v>
      </c>
      <c r="Q676" s="1">
        <f t="shared" ref="Q676" si="697">N676+P676</f>
        <v>9884.84</v>
      </c>
      <c r="R676" s="41">
        <v>9884.84</v>
      </c>
      <c r="S676" s="1">
        <f t="shared" ref="S676" si="698">R676-Q676</f>
        <v>0</v>
      </c>
      <c r="T676" s="1">
        <f t="shared" ref="T676" si="699">Q676+S676</f>
        <v>9884.84</v>
      </c>
      <c r="U676" s="41">
        <v>0</v>
      </c>
      <c r="V676" s="1">
        <f t="shared" ref="V676" si="700">U676-T676</f>
        <v>-9884.84</v>
      </c>
      <c r="W676" s="1">
        <f t="shared" ref="W676" si="701">T676+V676</f>
        <v>0</v>
      </c>
      <c r="X676" s="41">
        <v>928.72</v>
      </c>
      <c r="Y676" s="41">
        <f t="shared" ref="Y676" si="702">X676-W676</f>
        <v>928.72</v>
      </c>
      <c r="Z676" s="47">
        <v>35000</v>
      </c>
      <c r="AA676" s="41">
        <v>50000</v>
      </c>
      <c r="AB676" s="41">
        <f t="shared" si="685"/>
        <v>15000</v>
      </c>
      <c r="AC676" s="1">
        <f t="shared" si="686"/>
        <v>50000</v>
      </c>
      <c r="AD676" s="41">
        <v>20000</v>
      </c>
      <c r="AE676" s="1">
        <f t="shared" si="687"/>
        <v>-30000</v>
      </c>
      <c r="AF676" s="1">
        <f t="shared" si="688"/>
        <v>20000</v>
      </c>
    </row>
    <row r="677" spans="1:32" s="2" customFormat="1" outlineLevel="1">
      <c r="A677" s="42">
        <v>43900</v>
      </c>
      <c r="B677" s="11">
        <v>22701</v>
      </c>
      <c r="C677" s="42" t="s">
        <v>865</v>
      </c>
      <c r="D677" s="7"/>
      <c r="E677" s="7"/>
      <c r="F677" s="7"/>
      <c r="G677" s="7"/>
      <c r="H677" s="7"/>
      <c r="I677" s="1"/>
      <c r="J677" s="1"/>
      <c r="K677" s="1"/>
      <c r="L677" s="1"/>
      <c r="M677" s="7"/>
      <c r="N677" s="1"/>
      <c r="O677" s="1"/>
      <c r="P677" s="1"/>
      <c r="Q677" s="1"/>
      <c r="R677" s="41"/>
      <c r="S677" s="1"/>
      <c r="T677" s="1"/>
      <c r="U677" s="41"/>
      <c r="V677" s="1"/>
      <c r="W677" s="1"/>
      <c r="X677" s="41"/>
      <c r="Y677" s="41"/>
      <c r="Z677" s="47">
        <v>600115.03</v>
      </c>
      <c r="AA677" s="41">
        <v>676579.6</v>
      </c>
      <c r="AB677" s="41">
        <f t="shared" si="685"/>
        <v>76464.569999999949</v>
      </c>
      <c r="AC677" s="1">
        <f t="shared" si="686"/>
        <v>676579.6</v>
      </c>
      <c r="AD677" s="47">
        <v>676579.6</v>
      </c>
      <c r="AE677" s="1">
        <f t="shared" si="687"/>
        <v>0</v>
      </c>
      <c r="AF677" s="1">
        <f t="shared" si="688"/>
        <v>676579.6</v>
      </c>
    </row>
    <row r="678" spans="1:32" s="2" customFormat="1" outlineLevel="1">
      <c r="A678" s="9" t="s">
        <v>861</v>
      </c>
      <c r="B678" s="9"/>
      <c r="C678" s="9" t="s">
        <v>860</v>
      </c>
      <c r="D678" s="8">
        <f>SUBTOTAL(9,D632:D671)</f>
        <v>568706.39</v>
      </c>
      <c r="E678" s="8">
        <f>SUBTOTAL(9,E632:E671)</f>
        <v>200244.44999999998</v>
      </c>
      <c r="F678" s="8">
        <f>SUBTOTAL(9,F632:F671)</f>
        <v>368461.94</v>
      </c>
      <c r="G678" s="8">
        <f>SUBTOTAL(9,G632:G671)</f>
        <v>43890.320000000007</v>
      </c>
      <c r="H678" s="8">
        <f t="shared" ref="H678:O678" si="703">SUBTOTAL(9,H632:H676)</f>
        <v>637507.23</v>
      </c>
      <c r="I678" s="8">
        <f t="shared" si="703"/>
        <v>0</v>
      </c>
      <c r="J678" s="8">
        <f t="shared" si="703"/>
        <v>637507.23</v>
      </c>
      <c r="K678" s="8">
        <f t="shared" si="703"/>
        <v>-107654.97</v>
      </c>
      <c r="L678" s="8">
        <f t="shared" si="703"/>
        <v>529852.26</v>
      </c>
      <c r="M678" s="8">
        <f t="shared" si="703"/>
        <v>1024961.6799999999</v>
      </c>
      <c r="N678" s="8">
        <f t="shared" si="703"/>
        <v>1554813.9400000002</v>
      </c>
      <c r="O678" s="8">
        <f t="shared" si="703"/>
        <v>19769.68</v>
      </c>
      <c r="P678" s="8">
        <f>SUBTOTAL(9,P632:P676)</f>
        <v>8000</v>
      </c>
      <c r="Q678" s="8">
        <f>SUBTOTAL(9,Q632:Q676)</f>
        <v>1562813.9400000002</v>
      </c>
      <c r="R678" s="3"/>
      <c r="S678" s="8">
        <f t="shared" ref="S678:Y678" si="704">SUBTOTAL(9,S632:S676)</f>
        <v>3500</v>
      </c>
      <c r="T678" s="8">
        <f t="shared" si="704"/>
        <v>1586810.6700000002</v>
      </c>
      <c r="U678" s="8">
        <f t="shared" si="704"/>
        <v>1706444.73</v>
      </c>
      <c r="V678" s="8">
        <f t="shared" si="704"/>
        <v>119634.06</v>
      </c>
      <c r="W678" s="8">
        <f t="shared" si="704"/>
        <v>1106444.73</v>
      </c>
      <c r="X678" s="8">
        <f t="shared" si="704"/>
        <v>935922.47</v>
      </c>
      <c r="Y678" s="8">
        <f t="shared" si="704"/>
        <v>-170522.25999999995</v>
      </c>
      <c r="Z678" s="8">
        <f>SUBTOTAL(9,Z668:Z677)</f>
        <v>700115.03</v>
      </c>
      <c r="AA678" s="8">
        <f t="shared" ref="AA678:AB678" si="705">SUBTOTAL(9,AA668:AA677)</f>
        <v>878579.6</v>
      </c>
      <c r="AB678" s="8">
        <f t="shared" si="705"/>
        <v>178464.56999999995</v>
      </c>
      <c r="AC678" s="8">
        <f>SUBTOTAL(9,AC673:AC677)</f>
        <v>791579.6</v>
      </c>
      <c r="AD678" s="8">
        <f t="shared" ref="AD678:AF678" si="706">SUBTOTAL(9,AD673:AD677)</f>
        <v>818079.6</v>
      </c>
      <c r="AE678" s="8">
        <f t="shared" si="706"/>
        <v>26500</v>
      </c>
      <c r="AF678" s="8">
        <f t="shared" si="706"/>
        <v>818079.6</v>
      </c>
    </row>
    <row r="679" spans="1:32" s="2" customFormat="1" outlineLevel="1">
      <c r="A679" s="42">
        <v>45900</v>
      </c>
      <c r="B679" s="42">
        <v>12003</v>
      </c>
      <c r="C679" s="42" t="s">
        <v>862</v>
      </c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1"/>
      <c r="S679" s="47"/>
      <c r="T679" s="47"/>
      <c r="U679" s="47"/>
      <c r="V679" s="47"/>
      <c r="W679" s="47"/>
      <c r="X679" s="47"/>
      <c r="Y679" s="47"/>
      <c r="Z679" s="47">
        <v>928.72</v>
      </c>
      <c r="AA679" s="47">
        <v>0</v>
      </c>
      <c r="AB679" s="41">
        <f t="shared" ref="AB679" si="707">AA679-Z679</f>
        <v>-928.72</v>
      </c>
      <c r="AC679" s="1">
        <f t="shared" ref="AC679" si="708">Z679+AB679</f>
        <v>0</v>
      </c>
      <c r="AD679" s="41">
        <v>0</v>
      </c>
      <c r="AE679" s="1">
        <f t="shared" ref="AE679:AE708" si="709">AD679-AC679</f>
        <v>0</v>
      </c>
      <c r="AF679" s="1">
        <f t="shared" ref="AF679:AF708" si="710">AC679+AE679</f>
        <v>0</v>
      </c>
    </row>
    <row r="680" spans="1:32" s="2" customFormat="1" outlineLevel="1">
      <c r="A680" s="11">
        <v>45900</v>
      </c>
      <c r="B680" s="11">
        <v>12004</v>
      </c>
      <c r="C680" s="11" t="s">
        <v>184</v>
      </c>
      <c r="D680" s="7">
        <v>0</v>
      </c>
      <c r="E680" s="7">
        <v>40437.94</v>
      </c>
      <c r="F680" s="7">
        <f t="shared" si="668"/>
        <v>-40437.94</v>
      </c>
      <c r="G680" s="7">
        <v>40437.94</v>
      </c>
      <c r="H680" s="7">
        <f t="shared" si="669"/>
        <v>40437.94</v>
      </c>
      <c r="I680" s="1">
        <v>44685.760000000002</v>
      </c>
      <c r="J680" s="1">
        <f t="shared" si="642"/>
        <v>-4247.82</v>
      </c>
      <c r="K680" s="1">
        <v>4247.82</v>
      </c>
      <c r="L680" s="1">
        <f t="shared" si="670"/>
        <v>44685.760000000002</v>
      </c>
      <c r="M680" s="7">
        <f>75316.58-L680</f>
        <v>30630.82</v>
      </c>
      <c r="N680" s="1">
        <f t="shared" si="671"/>
        <v>75316.58</v>
      </c>
      <c r="O680" s="1">
        <v>58650.06</v>
      </c>
      <c r="P680" s="1">
        <f t="shared" si="672"/>
        <v>-16666.520000000004</v>
      </c>
      <c r="Q680" s="1">
        <f t="shared" si="673"/>
        <v>58650.06</v>
      </c>
      <c r="R680" s="41">
        <v>108921.46</v>
      </c>
      <c r="S680" s="1">
        <f t="shared" si="674"/>
        <v>50271.400000000009</v>
      </c>
      <c r="T680" s="1">
        <f t="shared" si="675"/>
        <v>108921.46</v>
      </c>
      <c r="U680" s="41">
        <v>75407.22</v>
      </c>
      <c r="V680" s="1">
        <f t="shared" si="676"/>
        <v>-33514.240000000005</v>
      </c>
      <c r="W680" s="1">
        <f t="shared" si="677"/>
        <v>75407.22</v>
      </c>
      <c r="X680" s="41">
        <v>80598.03</v>
      </c>
      <c r="Y680" s="41">
        <f t="shared" si="639"/>
        <v>5190.8099999999977</v>
      </c>
      <c r="Z680" s="1">
        <f t="shared" ref="Z680:Z707" si="711">W680+Y680</f>
        <v>80598.03</v>
      </c>
      <c r="AA680" s="41">
        <v>94017.7</v>
      </c>
      <c r="AB680" s="41">
        <f t="shared" si="608"/>
        <v>13419.669999999998</v>
      </c>
      <c r="AC680" s="1">
        <f t="shared" ref="AC680:AC708" si="712">Z680+AB680</f>
        <v>94017.7</v>
      </c>
      <c r="AD680" s="41">
        <v>95429.29</v>
      </c>
      <c r="AE680" s="1">
        <f t="shared" si="709"/>
        <v>1411.5899999999965</v>
      </c>
      <c r="AF680" s="1">
        <f t="shared" si="710"/>
        <v>95429.29</v>
      </c>
    </row>
    <row r="681" spans="1:32" s="2" customFormat="1" outlineLevel="1">
      <c r="A681" s="11">
        <v>45900</v>
      </c>
      <c r="B681" s="11">
        <v>12005</v>
      </c>
      <c r="C681" s="11" t="s">
        <v>601</v>
      </c>
      <c r="D681" s="7"/>
      <c r="E681" s="7"/>
      <c r="F681" s="7"/>
      <c r="G681" s="7"/>
      <c r="H681" s="7">
        <v>0</v>
      </c>
      <c r="I681" s="1">
        <v>16057.16</v>
      </c>
      <c r="J681" s="1">
        <f t="shared" si="642"/>
        <v>-16057.16</v>
      </c>
      <c r="K681" s="1">
        <v>16057.16</v>
      </c>
      <c r="L681" s="1">
        <f t="shared" si="670"/>
        <v>16057.16</v>
      </c>
      <c r="M681" s="7">
        <f>23035.74-L681</f>
        <v>6978.5800000000017</v>
      </c>
      <c r="N681" s="1">
        <f t="shared" si="671"/>
        <v>23035.74</v>
      </c>
      <c r="O681" s="1">
        <v>23035.74</v>
      </c>
      <c r="P681" s="1">
        <f t="shared" si="672"/>
        <v>0</v>
      </c>
      <c r="Q681" s="1">
        <f t="shared" si="673"/>
        <v>23035.74</v>
      </c>
      <c r="R681" s="41">
        <v>46071.48</v>
      </c>
      <c r="S681" s="1">
        <f t="shared" si="674"/>
        <v>23035.74</v>
      </c>
      <c r="T681" s="1">
        <f t="shared" si="675"/>
        <v>46071.48</v>
      </c>
      <c r="U681" s="41">
        <v>69107.22</v>
      </c>
      <c r="V681" s="1">
        <f t="shared" si="676"/>
        <v>23035.739999999998</v>
      </c>
      <c r="W681" s="1">
        <f t="shared" si="677"/>
        <v>69107.22</v>
      </c>
      <c r="X681" s="41">
        <v>54287.6</v>
      </c>
      <c r="Y681" s="41">
        <f t="shared" si="639"/>
        <v>-14819.620000000003</v>
      </c>
      <c r="Z681" s="1">
        <f t="shared" si="711"/>
        <v>54287.6</v>
      </c>
      <c r="AA681" s="41">
        <v>54830.69</v>
      </c>
      <c r="AB681" s="41">
        <f t="shared" si="608"/>
        <v>543.09000000000378</v>
      </c>
      <c r="AC681" s="1">
        <f t="shared" si="712"/>
        <v>54830.69</v>
      </c>
      <c r="AD681" s="41">
        <v>55653.37</v>
      </c>
      <c r="AE681" s="1">
        <f t="shared" si="709"/>
        <v>822.68000000000029</v>
      </c>
      <c r="AF681" s="1">
        <f t="shared" si="710"/>
        <v>55653.37</v>
      </c>
    </row>
    <row r="682" spans="1:32" outlineLevel="2">
      <c r="A682" s="11">
        <v>45900</v>
      </c>
      <c r="B682" s="11">
        <v>12006</v>
      </c>
      <c r="C682" s="11" t="s">
        <v>81</v>
      </c>
      <c r="D682" s="7">
        <v>0</v>
      </c>
      <c r="E682" s="7">
        <v>7401.95</v>
      </c>
      <c r="F682" s="7">
        <f t="shared" si="668"/>
        <v>-7401.95</v>
      </c>
      <c r="G682" s="7">
        <v>7401.95</v>
      </c>
      <c r="H682" s="7">
        <f t="shared" si="669"/>
        <v>7401.95</v>
      </c>
      <c r="I682" s="1">
        <v>5518.24</v>
      </c>
      <c r="J682" s="1">
        <f t="shared" si="642"/>
        <v>1883.71</v>
      </c>
      <c r="K682" s="1">
        <v>-1883.71</v>
      </c>
      <c r="L682" s="1">
        <f t="shared" si="670"/>
        <v>5518.24</v>
      </c>
      <c r="M682" s="7">
        <f>11130.06-L682</f>
        <v>5611.82</v>
      </c>
      <c r="N682" s="1">
        <f t="shared" si="671"/>
        <v>11130.06</v>
      </c>
      <c r="O682" s="1">
        <v>9907.82</v>
      </c>
      <c r="P682" s="1">
        <f t="shared" si="672"/>
        <v>-1222.2399999999998</v>
      </c>
      <c r="Q682" s="1">
        <f t="shared" si="673"/>
        <v>9907.82</v>
      </c>
      <c r="R682" s="41">
        <v>17823.650000000001</v>
      </c>
      <c r="S682" s="1">
        <f t="shared" si="674"/>
        <v>7915.8300000000017</v>
      </c>
      <c r="T682" s="1">
        <f t="shared" si="675"/>
        <v>17823.650000000001</v>
      </c>
      <c r="U682" s="1">
        <v>11829.12</v>
      </c>
      <c r="V682" s="1">
        <f t="shared" si="676"/>
        <v>-5994.5300000000007</v>
      </c>
      <c r="W682" s="1">
        <f t="shared" si="677"/>
        <v>11829.12</v>
      </c>
      <c r="X682" s="1">
        <v>12042.66</v>
      </c>
      <c r="Y682" s="41">
        <f t="shared" si="639"/>
        <v>213.53999999999905</v>
      </c>
      <c r="Z682" s="1">
        <f t="shared" si="711"/>
        <v>12042.66</v>
      </c>
      <c r="AA682" s="41">
        <v>13476.59</v>
      </c>
      <c r="AB682" s="41">
        <f t="shared" si="608"/>
        <v>1433.9300000000003</v>
      </c>
      <c r="AC682" s="1">
        <f t="shared" si="712"/>
        <v>13476.59</v>
      </c>
      <c r="AD682" s="41">
        <v>13814.32</v>
      </c>
      <c r="AE682" s="1">
        <f t="shared" si="709"/>
        <v>337.72999999999956</v>
      </c>
      <c r="AF682" s="1">
        <f t="shared" si="710"/>
        <v>13814.32</v>
      </c>
    </row>
    <row r="683" spans="1:32" outlineLevel="2">
      <c r="A683" s="11">
        <v>45900</v>
      </c>
      <c r="B683" s="11">
        <v>12100</v>
      </c>
      <c r="C683" s="11" t="s">
        <v>185</v>
      </c>
      <c r="D683" s="7">
        <v>80289.05</v>
      </c>
      <c r="E683" s="7">
        <v>26516.37</v>
      </c>
      <c r="F683" s="7">
        <f t="shared" si="668"/>
        <v>53772.680000000008</v>
      </c>
      <c r="G683" s="7">
        <v>-53772.68</v>
      </c>
      <c r="H683" s="7">
        <f t="shared" si="669"/>
        <v>26516.370000000003</v>
      </c>
      <c r="I683" s="1">
        <v>32988.43</v>
      </c>
      <c r="J683" s="1">
        <f t="shared" si="642"/>
        <v>-6472.0599999999977</v>
      </c>
      <c r="K683" s="1">
        <v>6472.06</v>
      </c>
      <c r="L683" s="1">
        <f t="shared" si="670"/>
        <v>32988.43</v>
      </c>
      <c r="M683" s="7">
        <f>58650.76-L683</f>
        <v>25662.33</v>
      </c>
      <c r="N683" s="1">
        <f t="shared" si="671"/>
        <v>58650.76</v>
      </c>
      <c r="O683" s="1">
        <v>49482.44</v>
      </c>
      <c r="P683" s="1">
        <f t="shared" si="672"/>
        <v>-9168.32</v>
      </c>
      <c r="Q683" s="1">
        <f t="shared" si="673"/>
        <v>49482.44</v>
      </c>
      <c r="R683" s="41">
        <v>88853.66</v>
      </c>
      <c r="S683" s="1">
        <f t="shared" si="674"/>
        <v>39371.22</v>
      </c>
      <c r="T683" s="1">
        <f t="shared" si="675"/>
        <v>88853.66</v>
      </c>
      <c r="U683" s="1">
        <v>76856.22</v>
      </c>
      <c r="V683" s="1">
        <f t="shared" si="676"/>
        <v>-11997.440000000002</v>
      </c>
      <c r="W683" s="1">
        <f t="shared" si="677"/>
        <v>76856.22</v>
      </c>
      <c r="X683" s="1">
        <v>70269.820000000007</v>
      </c>
      <c r="Y683" s="41">
        <f t="shared" si="639"/>
        <v>-6586.3999999999942</v>
      </c>
      <c r="Z683" s="1">
        <f t="shared" si="711"/>
        <v>70269.820000000007</v>
      </c>
      <c r="AA683" s="41">
        <v>79685.11</v>
      </c>
      <c r="AB683" s="41">
        <f t="shared" ref="AB683:AB691" si="713">AA683-Z683</f>
        <v>9415.2899999999936</v>
      </c>
      <c r="AC683" s="1">
        <f t="shared" si="712"/>
        <v>79685.11</v>
      </c>
      <c r="AD683" s="41">
        <v>80881.539999999994</v>
      </c>
      <c r="AE683" s="1">
        <f t="shared" si="709"/>
        <v>1196.429999999993</v>
      </c>
      <c r="AF683" s="1">
        <f t="shared" si="710"/>
        <v>80881.539999999994</v>
      </c>
    </row>
    <row r="684" spans="1:32" outlineLevel="2">
      <c r="A684" s="11">
        <v>45900</v>
      </c>
      <c r="B684" s="11">
        <v>12101</v>
      </c>
      <c r="C684" s="11" t="s">
        <v>186</v>
      </c>
      <c r="D684" s="7">
        <v>0</v>
      </c>
      <c r="E684" s="7">
        <v>32897.730000000003</v>
      </c>
      <c r="F684" s="7">
        <f t="shared" si="668"/>
        <v>-32897.730000000003</v>
      </c>
      <c r="G684" s="7">
        <v>32897.730000000003</v>
      </c>
      <c r="H684" s="7">
        <f t="shared" si="669"/>
        <v>32897.730000000003</v>
      </c>
      <c r="I684" s="1">
        <v>41077.629999999997</v>
      </c>
      <c r="J684" s="1">
        <f t="shared" si="642"/>
        <v>-8179.8999999999942</v>
      </c>
      <c r="K684" s="1">
        <v>8179.9</v>
      </c>
      <c r="L684" s="1">
        <f t="shared" si="670"/>
        <v>41077.630000000005</v>
      </c>
      <c r="M684" s="7">
        <f>73296.72-L684</f>
        <v>32219.089999999997</v>
      </c>
      <c r="N684" s="1">
        <f t="shared" si="671"/>
        <v>73296.72</v>
      </c>
      <c r="O684" s="1">
        <v>60466.7</v>
      </c>
      <c r="P684" s="1">
        <f t="shared" si="672"/>
        <v>-12830.020000000004</v>
      </c>
      <c r="Q684" s="1">
        <f t="shared" si="673"/>
        <v>60466.7</v>
      </c>
      <c r="R684" s="41">
        <v>108816.54</v>
      </c>
      <c r="S684" s="1">
        <f t="shared" si="674"/>
        <v>48349.84</v>
      </c>
      <c r="T684" s="1">
        <f t="shared" si="675"/>
        <v>108816.54</v>
      </c>
      <c r="U684" s="1">
        <v>96284.160000000003</v>
      </c>
      <c r="V684" s="1">
        <f t="shared" si="676"/>
        <v>-12532.37999999999</v>
      </c>
      <c r="W684" s="1">
        <f t="shared" si="677"/>
        <v>96284.160000000003</v>
      </c>
      <c r="X684" s="1">
        <v>87517.4</v>
      </c>
      <c r="Y684" s="41">
        <f t="shared" si="639"/>
        <v>-8766.7600000000093</v>
      </c>
      <c r="Z684" s="1">
        <f t="shared" si="711"/>
        <v>87517.4</v>
      </c>
      <c r="AA684" s="41">
        <v>99067.15</v>
      </c>
      <c r="AB684" s="41">
        <f t="shared" si="713"/>
        <v>11549.75</v>
      </c>
      <c r="AC684" s="1">
        <f t="shared" si="712"/>
        <v>99067.15</v>
      </c>
      <c r="AD684" s="41">
        <v>100553.38</v>
      </c>
      <c r="AE684" s="1">
        <f t="shared" si="709"/>
        <v>1486.2300000000105</v>
      </c>
      <c r="AF684" s="1">
        <f t="shared" si="710"/>
        <v>100553.38</v>
      </c>
    </row>
    <row r="685" spans="1:32" outlineLevel="2">
      <c r="A685" s="11">
        <v>45900</v>
      </c>
      <c r="B685" s="11">
        <v>13000</v>
      </c>
      <c r="C685" s="11" t="s">
        <v>187</v>
      </c>
      <c r="D685" s="7">
        <v>392092.43</v>
      </c>
      <c r="E685" s="7">
        <v>328107.43</v>
      </c>
      <c r="F685" s="7">
        <f t="shared" si="668"/>
        <v>63985</v>
      </c>
      <c r="G685" s="7">
        <v>-63985</v>
      </c>
      <c r="H685" s="7">
        <f t="shared" si="669"/>
        <v>328107.43</v>
      </c>
      <c r="I685" s="1">
        <v>215680.12</v>
      </c>
      <c r="J685" s="1">
        <f t="shared" si="642"/>
        <v>112427.31</v>
      </c>
      <c r="K685" s="1">
        <v>-112427.31</v>
      </c>
      <c r="L685" s="1">
        <f t="shared" si="670"/>
        <v>215680.12</v>
      </c>
      <c r="M685" s="7">
        <f>150944.5-L685</f>
        <v>-64735.619999999995</v>
      </c>
      <c r="N685" s="1">
        <f t="shared" si="671"/>
        <v>150944.5</v>
      </c>
      <c r="O685" s="1">
        <v>114894.28</v>
      </c>
      <c r="P685" s="1">
        <f t="shared" si="672"/>
        <v>-36050.22</v>
      </c>
      <c r="Q685" s="1">
        <f t="shared" si="673"/>
        <v>114894.28</v>
      </c>
      <c r="R685" s="41">
        <v>29574.16</v>
      </c>
      <c r="S685" s="1">
        <f t="shared" si="674"/>
        <v>-85320.12</v>
      </c>
      <c r="T685" s="1">
        <f t="shared" si="675"/>
        <v>29574.160000000003</v>
      </c>
      <c r="U685" s="1">
        <v>18312.560000000001</v>
      </c>
      <c r="V685" s="1">
        <f t="shared" si="676"/>
        <v>-11261.600000000002</v>
      </c>
      <c r="W685" s="1">
        <f t="shared" si="677"/>
        <v>18312.560000000001</v>
      </c>
      <c r="X685" s="1">
        <v>30689.98</v>
      </c>
      <c r="Y685" s="41">
        <f t="shared" si="639"/>
        <v>12377.419999999998</v>
      </c>
      <c r="Z685" s="1">
        <f t="shared" si="711"/>
        <v>30689.98</v>
      </c>
      <c r="AA685" s="41">
        <v>11103.59</v>
      </c>
      <c r="AB685" s="41">
        <f t="shared" si="713"/>
        <v>-19586.39</v>
      </c>
      <c r="AC685" s="1">
        <f t="shared" si="712"/>
        <v>11103.59</v>
      </c>
      <c r="AD685" s="41">
        <v>11271.56</v>
      </c>
      <c r="AE685" s="1">
        <f t="shared" si="709"/>
        <v>167.96999999999935</v>
      </c>
      <c r="AF685" s="1">
        <f t="shared" si="710"/>
        <v>11271.56</v>
      </c>
    </row>
    <row r="686" spans="1:32" outlineLevel="2">
      <c r="A686" s="11">
        <v>45900</v>
      </c>
      <c r="B686" s="11">
        <v>13001</v>
      </c>
      <c r="C686" s="11" t="s">
        <v>188</v>
      </c>
      <c r="D686" s="7">
        <v>337544.37</v>
      </c>
      <c r="E686" s="7">
        <v>12000</v>
      </c>
      <c r="F686" s="7">
        <f t="shared" si="668"/>
        <v>325544.37</v>
      </c>
      <c r="G686" s="7">
        <v>-325544.37</v>
      </c>
      <c r="H686" s="7">
        <f t="shared" si="669"/>
        <v>12000</v>
      </c>
      <c r="I686" s="1">
        <v>12000</v>
      </c>
      <c r="J686" s="1">
        <f t="shared" si="642"/>
        <v>0</v>
      </c>
      <c r="K686" s="1">
        <v>0</v>
      </c>
      <c r="L686" s="1">
        <f t="shared" si="670"/>
        <v>12000</v>
      </c>
      <c r="M686" s="7">
        <v>2000</v>
      </c>
      <c r="N686" s="1">
        <f t="shared" si="671"/>
        <v>14000</v>
      </c>
      <c r="O686" s="1">
        <v>5000</v>
      </c>
      <c r="P686" s="1">
        <f t="shared" si="672"/>
        <v>-9000</v>
      </c>
      <c r="Q686" s="1">
        <f t="shared" si="673"/>
        <v>5000</v>
      </c>
      <c r="R686" s="41"/>
      <c r="S686" s="1">
        <f t="shared" si="674"/>
        <v>-5000</v>
      </c>
      <c r="T686" s="1">
        <f t="shared" si="675"/>
        <v>0</v>
      </c>
      <c r="U686" s="1">
        <v>0</v>
      </c>
      <c r="V686" s="1">
        <f t="shared" si="676"/>
        <v>0</v>
      </c>
      <c r="W686" s="1">
        <f t="shared" si="677"/>
        <v>0</v>
      </c>
      <c r="X686" s="1">
        <v>0</v>
      </c>
      <c r="Y686" s="41">
        <f t="shared" si="639"/>
        <v>0</v>
      </c>
      <c r="Z686" s="1">
        <f t="shared" si="711"/>
        <v>0</v>
      </c>
      <c r="AA686" s="41">
        <v>0</v>
      </c>
      <c r="AB686" s="41">
        <f t="shared" si="713"/>
        <v>0</v>
      </c>
      <c r="AC686" s="1">
        <f t="shared" si="712"/>
        <v>0</v>
      </c>
      <c r="AD686" s="41">
        <v>0</v>
      </c>
      <c r="AE686" s="1">
        <f t="shared" si="709"/>
        <v>0</v>
      </c>
      <c r="AF686" s="1">
        <f t="shared" si="710"/>
        <v>0</v>
      </c>
    </row>
    <row r="687" spans="1:32" outlineLevel="2">
      <c r="A687" s="11">
        <v>45900</v>
      </c>
      <c r="B687" s="11">
        <v>13002</v>
      </c>
      <c r="C687" s="11" t="s">
        <v>189</v>
      </c>
      <c r="D687" s="7">
        <v>0</v>
      </c>
      <c r="E687" s="7">
        <v>278605.92</v>
      </c>
      <c r="F687" s="7">
        <f t="shared" si="668"/>
        <v>-278605.92</v>
      </c>
      <c r="G687" s="7">
        <v>278605.92</v>
      </c>
      <c r="H687" s="7">
        <f t="shared" si="669"/>
        <v>278605.92</v>
      </c>
      <c r="I687" s="1">
        <v>252116.2</v>
      </c>
      <c r="J687" s="1">
        <f t="shared" si="642"/>
        <v>26489.719999999972</v>
      </c>
      <c r="K687" s="1">
        <v>-26489.72</v>
      </c>
      <c r="L687" s="1">
        <f t="shared" si="670"/>
        <v>252116.19999999998</v>
      </c>
      <c r="M687" s="7">
        <f>179491.06-L687</f>
        <v>-72625.139999999985</v>
      </c>
      <c r="N687" s="1">
        <f t="shared" si="671"/>
        <v>179491.06</v>
      </c>
      <c r="O687" s="1">
        <v>137340.28</v>
      </c>
      <c r="P687" s="1">
        <f t="shared" si="672"/>
        <v>-42150.78</v>
      </c>
      <c r="Q687" s="1">
        <f t="shared" si="673"/>
        <v>137340.28</v>
      </c>
      <c r="R687" s="41">
        <v>40106.92</v>
      </c>
      <c r="S687" s="1">
        <f t="shared" si="674"/>
        <v>-97233.36</v>
      </c>
      <c r="T687" s="1">
        <f t="shared" si="675"/>
        <v>40106.92</v>
      </c>
      <c r="U687" s="1">
        <v>31010.14</v>
      </c>
      <c r="V687" s="1">
        <f t="shared" si="676"/>
        <v>-9096.7799999999988</v>
      </c>
      <c r="W687" s="1">
        <f t="shared" si="677"/>
        <v>31010.14</v>
      </c>
      <c r="X687" s="1">
        <v>30029.25</v>
      </c>
      <c r="Y687" s="41">
        <f t="shared" si="639"/>
        <v>-980.88999999999942</v>
      </c>
      <c r="Z687" s="1">
        <f t="shared" si="711"/>
        <v>30029.25</v>
      </c>
      <c r="AA687" s="41">
        <v>21049.93</v>
      </c>
      <c r="AB687" s="41">
        <f t="shared" si="713"/>
        <v>-8979.32</v>
      </c>
      <c r="AC687" s="1">
        <f t="shared" si="712"/>
        <v>21049.93</v>
      </c>
      <c r="AD687" s="41">
        <v>21365.73</v>
      </c>
      <c r="AE687" s="1">
        <f t="shared" si="709"/>
        <v>315.79999999999927</v>
      </c>
      <c r="AF687" s="1">
        <f t="shared" si="710"/>
        <v>21365.73</v>
      </c>
    </row>
    <row r="688" spans="1:32" outlineLevel="2">
      <c r="A688" s="11">
        <v>45900</v>
      </c>
      <c r="B688" s="11">
        <v>13100</v>
      </c>
      <c r="C688" s="11" t="s">
        <v>164</v>
      </c>
      <c r="D688" s="7">
        <v>23748.720000000001</v>
      </c>
      <c r="E688" s="7">
        <v>107080.02</v>
      </c>
      <c r="F688" s="7">
        <f t="shared" si="668"/>
        <v>-83331.3</v>
      </c>
      <c r="G688" s="7">
        <v>83331.3</v>
      </c>
      <c r="H688" s="7">
        <f t="shared" si="669"/>
        <v>107080.02</v>
      </c>
      <c r="I688" s="1">
        <v>16945.740000000002</v>
      </c>
      <c r="J688" s="1">
        <f t="shared" si="642"/>
        <v>90134.28</v>
      </c>
      <c r="K688" s="1">
        <v>-90134.28</v>
      </c>
      <c r="L688" s="1">
        <f t="shared" si="670"/>
        <v>16945.740000000005</v>
      </c>
      <c r="M688" s="7">
        <f>23924.32-L688</f>
        <v>6978.5799999999945</v>
      </c>
      <c r="N688" s="1">
        <f t="shared" si="671"/>
        <v>23924.32</v>
      </c>
      <c r="O688" s="1">
        <v>25135.74</v>
      </c>
      <c r="P688" s="1">
        <f t="shared" si="672"/>
        <v>1211.4200000000019</v>
      </c>
      <c r="Q688" s="1">
        <f t="shared" si="673"/>
        <v>25135.74</v>
      </c>
      <c r="R688" s="41"/>
      <c r="S688" s="1">
        <f t="shared" si="674"/>
        <v>-25135.74</v>
      </c>
      <c r="T688" s="1">
        <f t="shared" si="675"/>
        <v>0</v>
      </c>
      <c r="V688" s="1">
        <f t="shared" si="676"/>
        <v>0</v>
      </c>
      <c r="W688" s="1">
        <f t="shared" si="677"/>
        <v>0</v>
      </c>
      <c r="X688" s="1">
        <v>7755.38</v>
      </c>
      <c r="Y688" s="41">
        <f t="shared" si="639"/>
        <v>7755.38</v>
      </c>
      <c r="Z688" s="1">
        <f t="shared" si="711"/>
        <v>7755.38</v>
      </c>
      <c r="AA688" s="41">
        <v>0</v>
      </c>
      <c r="AB688" s="41">
        <f t="shared" si="713"/>
        <v>-7755.38</v>
      </c>
      <c r="AC688" s="1">
        <f t="shared" si="712"/>
        <v>0</v>
      </c>
      <c r="AD688" s="41">
        <v>0</v>
      </c>
      <c r="AE688" s="1">
        <f t="shared" si="709"/>
        <v>0</v>
      </c>
      <c r="AF688" s="1">
        <f t="shared" si="710"/>
        <v>0</v>
      </c>
    </row>
    <row r="689" spans="1:32" outlineLevel="2">
      <c r="A689" s="11">
        <v>45900</v>
      </c>
      <c r="B689" s="11">
        <v>13101</v>
      </c>
      <c r="C689" s="11" t="s">
        <v>165</v>
      </c>
      <c r="D689" s="7">
        <v>20008.349999999999</v>
      </c>
      <c r="E689" s="7">
        <v>89648.87</v>
      </c>
      <c r="F689" s="7">
        <f t="shared" si="668"/>
        <v>-69640.51999999999</v>
      </c>
      <c r="G689" s="7">
        <v>69640.52</v>
      </c>
      <c r="H689" s="7">
        <f t="shared" si="669"/>
        <v>89648.87</v>
      </c>
      <c r="I689" s="1">
        <v>18193.560000000001</v>
      </c>
      <c r="J689" s="1">
        <f t="shared" si="642"/>
        <v>71455.31</v>
      </c>
      <c r="K689" s="1">
        <v>-71455.31</v>
      </c>
      <c r="L689" s="1">
        <f t="shared" si="670"/>
        <v>18193.559999999998</v>
      </c>
      <c r="M689" s="7">
        <f>27695.64-L689</f>
        <v>9502.0800000000017</v>
      </c>
      <c r="N689" s="1">
        <f t="shared" si="671"/>
        <v>27695.64</v>
      </c>
      <c r="O689" s="1">
        <v>28203</v>
      </c>
      <c r="P689" s="1">
        <f t="shared" si="672"/>
        <v>507.36000000000058</v>
      </c>
      <c r="Q689" s="1">
        <f t="shared" si="673"/>
        <v>28203</v>
      </c>
      <c r="R689" s="41"/>
      <c r="S689" s="1">
        <f t="shared" si="674"/>
        <v>-28203</v>
      </c>
      <c r="T689" s="1">
        <f t="shared" si="675"/>
        <v>0</v>
      </c>
      <c r="V689" s="1">
        <f t="shared" si="676"/>
        <v>0</v>
      </c>
      <c r="W689" s="1">
        <f t="shared" si="677"/>
        <v>0</v>
      </c>
      <c r="X689" s="1">
        <v>9187.74</v>
      </c>
      <c r="Y689" s="41">
        <f t="shared" si="639"/>
        <v>9187.74</v>
      </c>
      <c r="Z689" s="1">
        <f t="shared" si="711"/>
        <v>9187.74</v>
      </c>
      <c r="AA689" s="41">
        <v>0</v>
      </c>
      <c r="AB689" s="41">
        <f t="shared" si="713"/>
        <v>-9187.74</v>
      </c>
      <c r="AC689" s="1">
        <f t="shared" si="712"/>
        <v>0</v>
      </c>
      <c r="AD689" s="41">
        <v>0</v>
      </c>
      <c r="AE689" s="1">
        <f t="shared" si="709"/>
        <v>0</v>
      </c>
      <c r="AF689" s="1">
        <f t="shared" si="710"/>
        <v>0</v>
      </c>
    </row>
    <row r="690" spans="1:32" outlineLevel="2">
      <c r="A690" s="11">
        <v>45900</v>
      </c>
      <c r="B690" s="19">
        <v>15100</v>
      </c>
      <c r="C690" s="19" t="s">
        <v>166</v>
      </c>
      <c r="D690" s="20">
        <v>25000</v>
      </c>
      <c r="E690" s="20">
        <v>3000</v>
      </c>
      <c r="F690" s="20">
        <f t="shared" si="668"/>
        <v>22000</v>
      </c>
      <c r="G690" s="20">
        <v>-22000</v>
      </c>
      <c r="H690" s="20">
        <f t="shared" si="669"/>
        <v>3000</v>
      </c>
      <c r="I690" s="21">
        <v>3000</v>
      </c>
      <c r="J690" s="21">
        <f t="shared" si="642"/>
        <v>0</v>
      </c>
      <c r="K690" s="21">
        <v>0</v>
      </c>
      <c r="L690" s="21">
        <f t="shared" si="670"/>
        <v>3000</v>
      </c>
      <c r="M690" s="7">
        <v>-1000</v>
      </c>
      <c r="N690" s="1">
        <f t="shared" si="671"/>
        <v>2000</v>
      </c>
      <c r="O690" s="1">
        <v>2000</v>
      </c>
      <c r="P690" s="1">
        <f t="shared" si="672"/>
        <v>0</v>
      </c>
      <c r="Q690" s="1">
        <f t="shared" si="673"/>
        <v>2000</v>
      </c>
      <c r="R690" s="41"/>
      <c r="S690" s="1">
        <f t="shared" si="674"/>
        <v>-2000</v>
      </c>
      <c r="T690" s="1">
        <f t="shared" si="675"/>
        <v>0</v>
      </c>
      <c r="V690" s="1">
        <f t="shared" si="676"/>
        <v>0</v>
      </c>
      <c r="W690" s="1">
        <f t="shared" si="677"/>
        <v>0</v>
      </c>
      <c r="X690" s="1">
        <v>3000</v>
      </c>
      <c r="Y690" s="41">
        <f t="shared" si="639"/>
        <v>3000</v>
      </c>
      <c r="Z690" s="1">
        <f t="shared" si="711"/>
        <v>3000</v>
      </c>
      <c r="AA690" s="41">
        <v>4000</v>
      </c>
      <c r="AB690" s="41">
        <f t="shared" si="713"/>
        <v>1000</v>
      </c>
      <c r="AC690" s="1">
        <f t="shared" si="712"/>
        <v>4000</v>
      </c>
      <c r="AD690" s="41">
        <v>4000</v>
      </c>
      <c r="AE690" s="1">
        <f t="shared" si="709"/>
        <v>0</v>
      </c>
      <c r="AF690" s="1">
        <f t="shared" si="710"/>
        <v>4000</v>
      </c>
    </row>
    <row r="691" spans="1:32" outlineLevel="2">
      <c r="A691" s="11">
        <v>45900</v>
      </c>
      <c r="B691" s="59">
        <v>16000</v>
      </c>
      <c r="C691" s="55" t="s">
        <v>759</v>
      </c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>
        <v>0</v>
      </c>
      <c r="U691" s="53"/>
      <c r="V691" s="53">
        <f t="shared" si="676"/>
        <v>0</v>
      </c>
      <c r="W691" s="53">
        <f t="shared" si="677"/>
        <v>0</v>
      </c>
      <c r="X691" s="1">
        <v>0</v>
      </c>
      <c r="Y691" s="41">
        <f t="shared" si="639"/>
        <v>0</v>
      </c>
      <c r="Z691" s="1">
        <f t="shared" si="711"/>
        <v>0</v>
      </c>
      <c r="AA691" s="41">
        <v>0</v>
      </c>
      <c r="AB691" s="41">
        <f t="shared" si="713"/>
        <v>0</v>
      </c>
      <c r="AC691" s="1">
        <f t="shared" si="712"/>
        <v>0</v>
      </c>
      <c r="AD691" s="41">
        <v>125428.58</v>
      </c>
      <c r="AE691" s="1">
        <f t="shared" si="709"/>
        <v>125428.58</v>
      </c>
      <c r="AF691" s="1">
        <f t="shared" si="710"/>
        <v>125428.58</v>
      </c>
    </row>
    <row r="692" spans="1:32" outlineLevel="2">
      <c r="A692" s="11">
        <v>45900</v>
      </c>
      <c r="B692" s="11">
        <v>20300</v>
      </c>
      <c r="C692" s="11" t="s">
        <v>167</v>
      </c>
      <c r="D692" s="7">
        <v>60202.42</v>
      </c>
      <c r="E692" s="7"/>
      <c r="F692" s="7">
        <f t="shared" si="668"/>
        <v>60202.42</v>
      </c>
      <c r="G692" s="7">
        <v>-5202.42</v>
      </c>
      <c r="H692" s="7">
        <f t="shared" si="669"/>
        <v>55000</v>
      </c>
      <c r="I692" s="1"/>
      <c r="J692" s="1">
        <f t="shared" si="642"/>
        <v>55000</v>
      </c>
      <c r="K692" s="1"/>
      <c r="L692" s="1">
        <f t="shared" si="670"/>
        <v>55000</v>
      </c>
      <c r="N692" s="1">
        <f t="shared" si="671"/>
        <v>55000</v>
      </c>
      <c r="O692" s="1"/>
      <c r="Q692" s="1">
        <f t="shared" si="673"/>
        <v>55000</v>
      </c>
      <c r="T692" s="1">
        <f t="shared" si="675"/>
        <v>55000</v>
      </c>
      <c r="U692" s="1">
        <f t="shared" si="675"/>
        <v>55000</v>
      </c>
      <c r="V692" s="1">
        <f t="shared" si="676"/>
        <v>0</v>
      </c>
      <c r="W692" s="1">
        <f t="shared" si="677"/>
        <v>55000</v>
      </c>
      <c r="X692" s="1">
        <v>55000</v>
      </c>
      <c r="Y692" s="41">
        <f t="shared" si="639"/>
        <v>0</v>
      </c>
      <c r="Z692" s="1">
        <f t="shared" si="711"/>
        <v>55000</v>
      </c>
      <c r="AA692" s="1">
        <v>45000</v>
      </c>
      <c r="AB692" s="1">
        <f t="shared" ref="AB692:AB713" si="714">AA692-Z692</f>
        <v>-10000</v>
      </c>
      <c r="AC692" s="1">
        <f t="shared" si="712"/>
        <v>45000</v>
      </c>
      <c r="AD692" s="41">
        <v>45000</v>
      </c>
      <c r="AE692" s="1">
        <f t="shared" si="709"/>
        <v>0</v>
      </c>
      <c r="AF692" s="1">
        <f t="shared" si="710"/>
        <v>45000</v>
      </c>
    </row>
    <row r="693" spans="1:32" outlineLevel="2">
      <c r="A693" s="11">
        <v>45900</v>
      </c>
      <c r="B693" s="11">
        <v>20400</v>
      </c>
      <c r="C693" s="11" t="s">
        <v>375</v>
      </c>
      <c r="D693" s="7">
        <v>17560.509999999998</v>
      </c>
      <c r="E693" s="7"/>
      <c r="F693" s="7">
        <f t="shared" si="668"/>
        <v>17560.509999999998</v>
      </c>
      <c r="G693" s="7">
        <v>-2560.5100000000002</v>
      </c>
      <c r="H693" s="7">
        <f t="shared" si="669"/>
        <v>14999.999999999998</v>
      </c>
      <c r="I693" s="1"/>
      <c r="J693" s="1">
        <f t="shared" si="642"/>
        <v>14999.999999999998</v>
      </c>
      <c r="K693" s="1"/>
      <c r="L693" s="1">
        <f t="shared" si="670"/>
        <v>14999.999999999998</v>
      </c>
      <c r="N693" s="1">
        <f t="shared" si="671"/>
        <v>14999.999999999998</v>
      </c>
      <c r="O693" s="1"/>
      <c r="Q693" s="1">
        <f t="shared" si="673"/>
        <v>14999.999999999998</v>
      </c>
      <c r="T693" s="1">
        <f t="shared" si="675"/>
        <v>14999.999999999998</v>
      </c>
      <c r="U693" s="1">
        <f t="shared" si="675"/>
        <v>14999.999999999998</v>
      </c>
      <c r="V693" s="1">
        <f t="shared" si="676"/>
        <v>0</v>
      </c>
      <c r="W693" s="1">
        <f t="shared" si="677"/>
        <v>14999.999999999998</v>
      </c>
      <c r="X693" s="1">
        <v>15000</v>
      </c>
      <c r="Y693" s="41">
        <f t="shared" si="639"/>
        <v>0</v>
      </c>
      <c r="Z693" s="1">
        <f t="shared" si="711"/>
        <v>14999.999999999998</v>
      </c>
      <c r="AA693" s="1">
        <v>15000</v>
      </c>
      <c r="AB693" s="1">
        <f t="shared" si="714"/>
        <v>0</v>
      </c>
      <c r="AC693" s="1">
        <f t="shared" si="712"/>
        <v>14999.999999999998</v>
      </c>
      <c r="AD693" s="41">
        <v>16000</v>
      </c>
      <c r="AE693" s="1">
        <f t="shared" si="709"/>
        <v>1000.0000000000018</v>
      </c>
      <c r="AF693" s="1">
        <f t="shared" si="710"/>
        <v>16000</v>
      </c>
    </row>
    <row r="694" spans="1:32" outlineLevel="2">
      <c r="A694" s="11">
        <v>45900</v>
      </c>
      <c r="B694" s="11">
        <v>21200</v>
      </c>
      <c r="C694" s="11" t="s">
        <v>168</v>
      </c>
      <c r="D694" s="7">
        <v>80000</v>
      </c>
      <c r="E694" s="7"/>
      <c r="F694" s="7">
        <f t="shared" si="668"/>
        <v>80000</v>
      </c>
      <c r="G694" s="7">
        <v>-1000</v>
      </c>
      <c r="H694" s="7">
        <f t="shared" si="669"/>
        <v>79000</v>
      </c>
      <c r="I694" s="1"/>
      <c r="J694" s="1">
        <f t="shared" si="642"/>
        <v>79000</v>
      </c>
      <c r="K694" s="1"/>
      <c r="L694" s="1">
        <f t="shared" si="670"/>
        <v>79000</v>
      </c>
      <c r="N694" s="1">
        <f t="shared" si="671"/>
        <v>79000</v>
      </c>
      <c r="O694" s="1"/>
      <c r="Q694" s="1">
        <f t="shared" si="673"/>
        <v>79000</v>
      </c>
      <c r="T694" s="1">
        <f t="shared" si="675"/>
        <v>79000</v>
      </c>
      <c r="U694" s="1">
        <f t="shared" si="675"/>
        <v>79000</v>
      </c>
      <c r="V694" s="1">
        <f t="shared" si="676"/>
        <v>0</v>
      </c>
      <c r="W694" s="1">
        <f t="shared" si="677"/>
        <v>79000</v>
      </c>
      <c r="X694" s="1">
        <v>80000</v>
      </c>
      <c r="Y694" s="41">
        <f t="shared" si="639"/>
        <v>1000</v>
      </c>
      <c r="Z694" s="1">
        <f t="shared" si="711"/>
        <v>80000</v>
      </c>
      <c r="AA694" s="1">
        <v>80000</v>
      </c>
      <c r="AB694" s="1">
        <f t="shared" si="714"/>
        <v>0</v>
      </c>
      <c r="AC694" s="1">
        <f t="shared" si="712"/>
        <v>80000</v>
      </c>
      <c r="AD694" s="41">
        <v>80000</v>
      </c>
      <c r="AE694" s="1">
        <f t="shared" si="709"/>
        <v>0</v>
      </c>
      <c r="AF694" s="1">
        <f t="shared" si="710"/>
        <v>80000</v>
      </c>
    </row>
    <row r="695" spans="1:32" outlineLevel="2">
      <c r="A695" s="11">
        <v>45900</v>
      </c>
      <c r="B695" s="11">
        <v>21300</v>
      </c>
      <c r="C695" s="11" t="s">
        <v>169</v>
      </c>
      <c r="D695" s="7">
        <v>12020.24</v>
      </c>
      <c r="E695" s="7"/>
      <c r="F695" s="7">
        <f t="shared" si="668"/>
        <v>12020.24</v>
      </c>
      <c r="G695" s="7">
        <v>-2020.24</v>
      </c>
      <c r="H695" s="7">
        <f t="shared" si="669"/>
        <v>10000</v>
      </c>
      <c r="I695" s="1"/>
      <c r="J695" s="1">
        <f t="shared" si="642"/>
        <v>10000</v>
      </c>
      <c r="K695" s="1"/>
      <c r="L695" s="1">
        <f t="shared" si="670"/>
        <v>10000</v>
      </c>
      <c r="N695" s="1">
        <f t="shared" si="671"/>
        <v>10000</v>
      </c>
      <c r="O695" s="1"/>
      <c r="Q695" s="1">
        <f t="shared" si="673"/>
        <v>10000</v>
      </c>
      <c r="T695" s="1">
        <f t="shared" si="675"/>
        <v>10000</v>
      </c>
      <c r="U695" s="1">
        <f t="shared" si="675"/>
        <v>10000</v>
      </c>
      <c r="V695" s="1">
        <f t="shared" si="676"/>
        <v>0</v>
      </c>
      <c r="W695" s="1">
        <f t="shared" si="677"/>
        <v>10000</v>
      </c>
      <c r="X695" s="1">
        <v>30000</v>
      </c>
      <c r="Y695" s="41">
        <f t="shared" si="639"/>
        <v>20000</v>
      </c>
      <c r="Z695" s="1">
        <f t="shared" si="711"/>
        <v>30000</v>
      </c>
      <c r="AA695" s="1">
        <v>30000</v>
      </c>
      <c r="AB695" s="1">
        <f t="shared" si="714"/>
        <v>0</v>
      </c>
      <c r="AC695" s="1">
        <f t="shared" si="712"/>
        <v>30000</v>
      </c>
      <c r="AD695" s="41">
        <v>20000</v>
      </c>
      <c r="AE695" s="1">
        <f t="shared" si="709"/>
        <v>-10000</v>
      </c>
      <c r="AF695" s="1">
        <f t="shared" si="710"/>
        <v>20000</v>
      </c>
    </row>
    <row r="696" spans="1:32" outlineLevel="2">
      <c r="A696" s="11">
        <v>45900</v>
      </c>
      <c r="B696" s="11">
        <v>21400</v>
      </c>
      <c r="C696" s="11" t="s">
        <v>170</v>
      </c>
      <c r="D696" s="7">
        <v>8177.82</v>
      </c>
      <c r="E696" s="7"/>
      <c r="F696" s="7">
        <f t="shared" si="668"/>
        <v>8177.82</v>
      </c>
      <c r="G696" s="7">
        <v>-3177.82</v>
      </c>
      <c r="H696" s="7">
        <f t="shared" si="669"/>
        <v>5000</v>
      </c>
      <c r="I696" s="1"/>
      <c r="J696" s="1">
        <f t="shared" si="642"/>
        <v>5000</v>
      </c>
      <c r="K696" s="1"/>
      <c r="L696" s="1">
        <f t="shared" si="670"/>
        <v>5000</v>
      </c>
      <c r="N696" s="1">
        <f t="shared" si="671"/>
        <v>5000</v>
      </c>
      <c r="O696" s="1"/>
      <c r="Q696" s="1">
        <f t="shared" si="673"/>
        <v>5000</v>
      </c>
      <c r="T696" s="1">
        <f t="shared" si="675"/>
        <v>5000</v>
      </c>
      <c r="U696" s="1">
        <f t="shared" si="675"/>
        <v>5000</v>
      </c>
      <c r="V696" s="1">
        <f t="shared" si="676"/>
        <v>0</v>
      </c>
      <c r="W696" s="1">
        <f t="shared" si="677"/>
        <v>5000</v>
      </c>
      <c r="X696" s="1">
        <v>8000</v>
      </c>
      <c r="Y696" s="41">
        <f t="shared" si="639"/>
        <v>3000</v>
      </c>
      <c r="Z696" s="1">
        <f t="shared" si="711"/>
        <v>8000</v>
      </c>
      <c r="AA696" s="1">
        <v>8000</v>
      </c>
      <c r="AB696" s="1">
        <f t="shared" si="714"/>
        <v>0</v>
      </c>
      <c r="AC696" s="1">
        <f t="shared" si="712"/>
        <v>8000</v>
      </c>
      <c r="AD696" s="41">
        <v>9000</v>
      </c>
      <c r="AE696" s="1">
        <f t="shared" si="709"/>
        <v>1000</v>
      </c>
      <c r="AF696" s="1">
        <f t="shared" si="710"/>
        <v>9000</v>
      </c>
    </row>
    <row r="697" spans="1:32" outlineLevel="2">
      <c r="A697" s="11">
        <v>45900</v>
      </c>
      <c r="B697" s="11">
        <v>21900</v>
      </c>
      <c r="C697" s="11" t="s">
        <v>171</v>
      </c>
      <c r="D697" s="7">
        <v>360.61</v>
      </c>
      <c r="E697" s="7"/>
      <c r="F697" s="7">
        <f t="shared" si="668"/>
        <v>360.61</v>
      </c>
      <c r="G697" s="7"/>
      <c r="H697" s="7">
        <f t="shared" si="669"/>
        <v>360.61</v>
      </c>
      <c r="I697" s="1"/>
      <c r="J697" s="1">
        <f t="shared" si="642"/>
        <v>360.61</v>
      </c>
      <c r="K697" s="1"/>
      <c r="L697" s="1">
        <f t="shared" si="670"/>
        <v>360.61</v>
      </c>
      <c r="N697" s="1">
        <f t="shared" si="671"/>
        <v>360.61</v>
      </c>
      <c r="O697" s="1"/>
      <c r="Q697" s="1">
        <f t="shared" si="673"/>
        <v>360.61</v>
      </c>
      <c r="T697" s="1">
        <f t="shared" si="675"/>
        <v>360.61</v>
      </c>
      <c r="U697" s="1">
        <f t="shared" si="675"/>
        <v>360.61</v>
      </c>
      <c r="V697" s="1">
        <f t="shared" si="676"/>
        <v>0</v>
      </c>
      <c r="W697" s="1">
        <f t="shared" si="677"/>
        <v>360.61</v>
      </c>
      <c r="X697" s="1">
        <v>0</v>
      </c>
      <c r="Y697" s="41">
        <f t="shared" si="639"/>
        <v>-360.61</v>
      </c>
      <c r="Z697" s="1">
        <f t="shared" si="711"/>
        <v>0</v>
      </c>
      <c r="AA697" s="1">
        <v>0</v>
      </c>
      <c r="AB697" s="1">
        <f t="shared" si="714"/>
        <v>0</v>
      </c>
      <c r="AC697" s="1">
        <f t="shared" si="712"/>
        <v>0</v>
      </c>
      <c r="AD697" s="41">
        <v>0</v>
      </c>
      <c r="AE697" s="1">
        <f t="shared" si="709"/>
        <v>0</v>
      </c>
      <c r="AF697" s="1">
        <f t="shared" si="710"/>
        <v>0</v>
      </c>
    </row>
    <row r="698" spans="1:32" outlineLevel="2">
      <c r="A698" s="11">
        <v>45900</v>
      </c>
      <c r="B698" s="11">
        <v>22000</v>
      </c>
      <c r="C698" s="11" t="s">
        <v>172</v>
      </c>
      <c r="D698" s="7">
        <v>800</v>
      </c>
      <c r="E698" s="7"/>
      <c r="F698" s="7">
        <f t="shared" si="668"/>
        <v>800</v>
      </c>
      <c r="G698" s="7"/>
      <c r="H698" s="7">
        <f t="shared" si="669"/>
        <v>800</v>
      </c>
      <c r="I698" s="1"/>
      <c r="J698" s="1">
        <f t="shared" si="642"/>
        <v>800</v>
      </c>
      <c r="K698" s="1"/>
      <c r="L698" s="1">
        <f t="shared" si="670"/>
        <v>800</v>
      </c>
      <c r="N698" s="1">
        <f t="shared" si="671"/>
        <v>800</v>
      </c>
      <c r="O698" s="1"/>
      <c r="Q698" s="1">
        <f t="shared" si="673"/>
        <v>800</v>
      </c>
      <c r="T698" s="1">
        <f t="shared" si="675"/>
        <v>800</v>
      </c>
      <c r="U698" s="1">
        <f t="shared" si="675"/>
        <v>800</v>
      </c>
      <c r="V698" s="1">
        <f t="shared" si="676"/>
        <v>0</v>
      </c>
      <c r="W698" s="1">
        <f t="shared" si="677"/>
        <v>800</v>
      </c>
      <c r="X698" s="1">
        <v>100</v>
      </c>
      <c r="Y698" s="41">
        <f t="shared" si="639"/>
        <v>-700</v>
      </c>
      <c r="Z698" s="1">
        <f t="shared" si="711"/>
        <v>100</v>
      </c>
      <c r="AA698" s="1">
        <v>100</v>
      </c>
      <c r="AB698" s="1">
        <f t="shared" si="714"/>
        <v>0</v>
      </c>
      <c r="AC698" s="1">
        <f t="shared" si="712"/>
        <v>100</v>
      </c>
      <c r="AD698" s="41">
        <v>100</v>
      </c>
      <c r="AE698" s="1">
        <f t="shared" si="709"/>
        <v>0</v>
      </c>
      <c r="AF698" s="1">
        <f t="shared" si="710"/>
        <v>100</v>
      </c>
    </row>
    <row r="699" spans="1:32" outlineLevel="2">
      <c r="A699" s="11">
        <v>45900</v>
      </c>
      <c r="B699" s="11">
        <v>22001</v>
      </c>
      <c r="C699" s="11" t="s">
        <v>173</v>
      </c>
      <c r="D699" s="7">
        <v>400</v>
      </c>
      <c r="E699" s="7"/>
      <c r="F699" s="7">
        <f t="shared" si="668"/>
        <v>400</v>
      </c>
      <c r="G699" s="7"/>
      <c r="H699" s="7">
        <f t="shared" si="669"/>
        <v>400</v>
      </c>
      <c r="I699" s="1"/>
      <c r="J699" s="1">
        <f t="shared" si="642"/>
        <v>400</v>
      </c>
      <c r="K699" s="1"/>
      <c r="L699" s="1">
        <f t="shared" si="670"/>
        <v>400</v>
      </c>
      <c r="N699" s="1">
        <f t="shared" si="671"/>
        <v>400</v>
      </c>
      <c r="O699" s="1"/>
      <c r="Q699" s="1">
        <f t="shared" si="673"/>
        <v>400</v>
      </c>
      <c r="T699" s="1">
        <f t="shared" si="675"/>
        <v>400</v>
      </c>
      <c r="U699" s="1">
        <f t="shared" si="675"/>
        <v>400</v>
      </c>
      <c r="V699" s="1">
        <f t="shared" si="676"/>
        <v>0</v>
      </c>
      <c r="W699" s="1">
        <f t="shared" si="677"/>
        <v>400</v>
      </c>
      <c r="X699" s="1">
        <v>0</v>
      </c>
      <c r="Y699" s="41">
        <f t="shared" si="639"/>
        <v>-400</v>
      </c>
      <c r="Z699" s="1">
        <f t="shared" si="711"/>
        <v>0</v>
      </c>
      <c r="AA699" s="1">
        <v>0</v>
      </c>
      <c r="AB699" s="1">
        <f t="shared" si="714"/>
        <v>0</v>
      </c>
      <c r="AC699" s="1">
        <f t="shared" si="712"/>
        <v>0</v>
      </c>
      <c r="AD699" s="41">
        <v>0</v>
      </c>
      <c r="AE699" s="1">
        <f t="shared" si="709"/>
        <v>0</v>
      </c>
      <c r="AF699" s="1">
        <f t="shared" si="710"/>
        <v>0</v>
      </c>
    </row>
    <row r="700" spans="1:32" outlineLevel="2">
      <c r="A700" s="11">
        <v>45900</v>
      </c>
      <c r="B700" s="11">
        <v>22101</v>
      </c>
      <c r="C700" s="39" t="s">
        <v>248</v>
      </c>
      <c r="D700" s="7"/>
      <c r="E700" s="7"/>
      <c r="F700" s="7"/>
      <c r="G700" s="7"/>
      <c r="H700" s="7"/>
      <c r="I700" s="1"/>
      <c r="J700" s="1"/>
      <c r="K700" s="1"/>
      <c r="L700" s="1"/>
      <c r="N700" s="1"/>
      <c r="O700" s="1"/>
      <c r="T700" s="1"/>
      <c r="V700" s="1"/>
      <c r="W700" s="1"/>
      <c r="Y700" s="41"/>
      <c r="Z700" s="1"/>
      <c r="AB700" s="1"/>
      <c r="AC700" s="1">
        <v>0</v>
      </c>
      <c r="AD700" s="41">
        <v>250</v>
      </c>
      <c r="AE700" s="1">
        <f t="shared" ref="AE700" si="715">AD700-AC700</f>
        <v>250</v>
      </c>
      <c r="AF700" s="1">
        <f t="shared" ref="AF700" si="716">AC700+AE700</f>
        <v>250</v>
      </c>
    </row>
    <row r="701" spans="1:32" outlineLevel="2">
      <c r="A701" s="11">
        <v>45900</v>
      </c>
      <c r="B701" s="11">
        <v>22103</v>
      </c>
      <c r="C701" s="11" t="s">
        <v>174</v>
      </c>
      <c r="D701" s="7">
        <v>9856.6</v>
      </c>
      <c r="E701" s="7"/>
      <c r="F701" s="7">
        <f t="shared" si="668"/>
        <v>9856.6</v>
      </c>
      <c r="G701" s="7">
        <v>-1856.6</v>
      </c>
      <c r="H701" s="7">
        <f t="shared" si="669"/>
        <v>8000</v>
      </c>
      <c r="I701" s="1"/>
      <c r="J701" s="1">
        <f t="shared" si="642"/>
        <v>8000</v>
      </c>
      <c r="K701" s="1"/>
      <c r="L701" s="1">
        <f t="shared" si="670"/>
        <v>8000</v>
      </c>
      <c r="N701" s="1">
        <f t="shared" si="671"/>
        <v>8000</v>
      </c>
      <c r="O701" s="1"/>
      <c r="Q701" s="1">
        <f t="shared" si="673"/>
        <v>8000</v>
      </c>
      <c r="T701" s="1">
        <f t="shared" si="675"/>
        <v>8000</v>
      </c>
      <c r="U701" s="1">
        <f t="shared" si="675"/>
        <v>8000</v>
      </c>
      <c r="V701" s="1">
        <f t="shared" si="676"/>
        <v>0</v>
      </c>
      <c r="W701" s="1">
        <f t="shared" si="677"/>
        <v>8000</v>
      </c>
      <c r="X701" s="1">
        <v>12000</v>
      </c>
      <c r="Y701" s="41">
        <f t="shared" si="639"/>
        <v>4000</v>
      </c>
      <c r="Z701" s="1">
        <f t="shared" si="711"/>
        <v>12000</v>
      </c>
      <c r="AA701" s="1">
        <v>12000</v>
      </c>
      <c r="AB701" s="1">
        <f t="shared" si="714"/>
        <v>0</v>
      </c>
      <c r="AC701" s="1">
        <f t="shared" si="712"/>
        <v>12000</v>
      </c>
      <c r="AD701" s="41">
        <v>12000</v>
      </c>
      <c r="AE701" s="1">
        <f t="shared" si="709"/>
        <v>0</v>
      </c>
      <c r="AF701" s="1">
        <f t="shared" si="710"/>
        <v>12000</v>
      </c>
    </row>
    <row r="702" spans="1:32" outlineLevel="2">
      <c r="A702" s="11">
        <v>45900</v>
      </c>
      <c r="B702" s="11">
        <v>22104</v>
      </c>
      <c r="C702" s="11" t="s">
        <v>377</v>
      </c>
      <c r="D702" s="7">
        <v>3389.02</v>
      </c>
      <c r="E702" s="7"/>
      <c r="F702" s="7">
        <f t="shared" si="668"/>
        <v>3389.02</v>
      </c>
      <c r="G702" s="7">
        <v>-1389.02</v>
      </c>
      <c r="H702" s="7">
        <f t="shared" si="669"/>
        <v>2000</v>
      </c>
      <c r="I702" s="1"/>
      <c r="J702" s="1">
        <f t="shared" si="642"/>
        <v>2000</v>
      </c>
      <c r="K702" s="1"/>
      <c r="L702" s="1">
        <f t="shared" si="670"/>
        <v>2000</v>
      </c>
      <c r="N702" s="1">
        <f t="shared" si="671"/>
        <v>2000</v>
      </c>
      <c r="O702" s="1"/>
      <c r="Q702" s="1">
        <f t="shared" si="673"/>
        <v>2000</v>
      </c>
      <c r="T702" s="1">
        <f t="shared" si="675"/>
        <v>2000</v>
      </c>
      <c r="U702" s="1">
        <f t="shared" si="675"/>
        <v>2000</v>
      </c>
      <c r="V702" s="1">
        <f t="shared" si="676"/>
        <v>0</v>
      </c>
      <c r="W702" s="1">
        <f t="shared" si="677"/>
        <v>2000</v>
      </c>
      <c r="X702" s="1">
        <v>3000</v>
      </c>
      <c r="Y702" s="41">
        <f t="shared" si="639"/>
        <v>1000</v>
      </c>
      <c r="Z702" s="1">
        <f t="shared" si="711"/>
        <v>3000</v>
      </c>
      <c r="AA702" s="1">
        <v>3000</v>
      </c>
      <c r="AB702" s="1">
        <f t="shared" si="714"/>
        <v>0</v>
      </c>
      <c r="AC702" s="1">
        <f t="shared" si="712"/>
        <v>3000</v>
      </c>
      <c r="AD702" s="41">
        <v>4500</v>
      </c>
      <c r="AE702" s="1">
        <f t="shared" si="709"/>
        <v>1500</v>
      </c>
      <c r="AF702" s="1">
        <f t="shared" si="710"/>
        <v>4500</v>
      </c>
    </row>
    <row r="703" spans="1:32" outlineLevel="2">
      <c r="A703" s="11">
        <v>45900</v>
      </c>
      <c r="B703" s="11">
        <v>22199</v>
      </c>
      <c r="C703" s="11" t="s">
        <v>175</v>
      </c>
      <c r="D703" s="7">
        <v>70050.61</v>
      </c>
      <c r="E703" s="7"/>
      <c r="F703" s="7">
        <f t="shared" si="668"/>
        <v>70050.61</v>
      </c>
      <c r="G703" s="7">
        <v>-10050.61</v>
      </c>
      <c r="H703" s="7">
        <f t="shared" si="669"/>
        <v>60000</v>
      </c>
      <c r="I703" s="1"/>
      <c r="J703" s="1">
        <f t="shared" si="642"/>
        <v>60000</v>
      </c>
      <c r="K703" s="1"/>
      <c r="L703" s="1">
        <f t="shared" si="670"/>
        <v>60000</v>
      </c>
      <c r="M703" s="7">
        <v>50000</v>
      </c>
      <c r="N703" s="1">
        <f t="shared" si="671"/>
        <v>110000</v>
      </c>
      <c r="O703" s="1"/>
      <c r="Q703" s="1">
        <f t="shared" si="673"/>
        <v>110000</v>
      </c>
      <c r="T703" s="1">
        <f t="shared" si="675"/>
        <v>110000</v>
      </c>
      <c r="U703" s="1">
        <f t="shared" si="675"/>
        <v>110000</v>
      </c>
      <c r="V703" s="1">
        <f t="shared" si="676"/>
        <v>0</v>
      </c>
      <c r="W703" s="1">
        <f t="shared" si="677"/>
        <v>110000</v>
      </c>
      <c r="X703" s="1">
        <v>90000</v>
      </c>
      <c r="Y703" s="41">
        <f t="shared" si="639"/>
        <v>-20000</v>
      </c>
      <c r="Z703" s="1">
        <f t="shared" si="711"/>
        <v>90000</v>
      </c>
      <c r="AA703" s="1">
        <v>90000</v>
      </c>
      <c r="AB703" s="1">
        <f t="shared" si="714"/>
        <v>0</v>
      </c>
      <c r="AC703" s="1">
        <f t="shared" si="712"/>
        <v>90000</v>
      </c>
      <c r="AD703" s="41">
        <v>90000</v>
      </c>
      <c r="AE703" s="1">
        <f t="shared" si="709"/>
        <v>0</v>
      </c>
      <c r="AF703" s="1">
        <f t="shared" si="710"/>
        <v>90000</v>
      </c>
    </row>
    <row r="704" spans="1:32" outlineLevel="2">
      <c r="A704" s="11">
        <v>45900</v>
      </c>
      <c r="B704" s="11">
        <v>22300</v>
      </c>
      <c r="C704" s="11" t="s">
        <v>176</v>
      </c>
      <c r="D704" s="7">
        <v>721.22</v>
      </c>
      <c r="E704" s="7"/>
      <c r="F704" s="7">
        <f t="shared" si="668"/>
        <v>721.22</v>
      </c>
      <c r="G704" s="7"/>
      <c r="H704" s="7">
        <f t="shared" si="669"/>
        <v>721.22</v>
      </c>
      <c r="I704" s="1"/>
      <c r="J704" s="1">
        <f t="shared" si="642"/>
        <v>721.22</v>
      </c>
      <c r="K704" s="1"/>
      <c r="L704" s="1">
        <f t="shared" si="670"/>
        <v>721.22</v>
      </c>
      <c r="N704" s="1">
        <f t="shared" si="671"/>
        <v>721.22</v>
      </c>
      <c r="O704" s="1"/>
      <c r="Q704" s="1">
        <f t="shared" si="673"/>
        <v>721.22</v>
      </c>
      <c r="T704" s="1">
        <f t="shared" si="675"/>
        <v>721.22</v>
      </c>
      <c r="U704" s="1">
        <f t="shared" si="675"/>
        <v>721.22</v>
      </c>
      <c r="V704" s="1">
        <f t="shared" si="676"/>
        <v>0</v>
      </c>
      <c r="W704" s="1">
        <f t="shared" si="677"/>
        <v>721.22</v>
      </c>
      <c r="X704" s="1">
        <v>1000</v>
      </c>
      <c r="Y704" s="41">
        <f t="shared" si="639"/>
        <v>278.77999999999997</v>
      </c>
      <c r="Z704" s="1">
        <f t="shared" si="711"/>
        <v>1000</v>
      </c>
      <c r="AA704" s="1">
        <v>1000</v>
      </c>
      <c r="AB704" s="1">
        <f t="shared" si="714"/>
        <v>0</v>
      </c>
      <c r="AC704" s="1">
        <f t="shared" si="712"/>
        <v>1000</v>
      </c>
      <c r="AD704" s="41">
        <v>500</v>
      </c>
      <c r="AE704" s="1">
        <f t="shared" si="709"/>
        <v>-500</v>
      </c>
      <c r="AF704" s="1">
        <f t="shared" si="710"/>
        <v>500</v>
      </c>
    </row>
    <row r="705" spans="1:32" outlineLevel="2">
      <c r="A705" s="11">
        <v>45900</v>
      </c>
      <c r="B705" s="11">
        <v>22699</v>
      </c>
      <c r="C705" s="11" t="s">
        <v>256</v>
      </c>
      <c r="D705" s="7">
        <v>1600</v>
      </c>
      <c r="E705" s="7"/>
      <c r="F705" s="7">
        <f t="shared" si="668"/>
        <v>1600</v>
      </c>
      <c r="G705" s="7"/>
      <c r="H705" s="7">
        <f t="shared" si="669"/>
        <v>1600</v>
      </c>
      <c r="I705" s="1"/>
      <c r="J705" s="1">
        <f t="shared" si="642"/>
        <v>1600</v>
      </c>
      <c r="K705" s="1"/>
      <c r="L705" s="1">
        <f t="shared" si="670"/>
        <v>1600</v>
      </c>
      <c r="N705" s="1">
        <f t="shared" si="671"/>
        <v>1600</v>
      </c>
      <c r="O705" s="1"/>
      <c r="Q705" s="1">
        <f t="shared" si="673"/>
        <v>1600</v>
      </c>
      <c r="T705" s="1">
        <f t="shared" si="675"/>
        <v>1600</v>
      </c>
      <c r="U705" s="1">
        <v>60000</v>
      </c>
      <c r="V705" s="1">
        <f t="shared" si="676"/>
        <v>58400</v>
      </c>
      <c r="W705" s="1">
        <f t="shared" si="677"/>
        <v>60000</v>
      </c>
      <c r="X705" s="1">
        <v>80000</v>
      </c>
      <c r="Y705" s="41">
        <f t="shared" si="639"/>
        <v>20000</v>
      </c>
      <c r="Z705" s="1">
        <f t="shared" si="711"/>
        <v>80000</v>
      </c>
      <c r="AA705" s="1">
        <v>70000</v>
      </c>
      <c r="AB705" s="1">
        <f t="shared" si="714"/>
        <v>-10000</v>
      </c>
      <c r="AC705" s="1">
        <f t="shared" si="712"/>
        <v>70000</v>
      </c>
      <c r="AD705" s="41">
        <v>70000</v>
      </c>
      <c r="AE705" s="1">
        <f t="shared" si="709"/>
        <v>0</v>
      </c>
      <c r="AF705" s="1">
        <f t="shared" si="710"/>
        <v>70000</v>
      </c>
    </row>
    <row r="706" spans="1:32" outlineLevel="2">
      <c r="A706" s="11">
        <v>45900</v>
      </c>
      <c r="B706" s="11">
        <v>23020</v>
      </c>
      <c r="C706" s="11" t="s">
        <v>177</v>
      </c>
      <c r="D706" s="7">
        <v>500</v>
      </c>
      <c r="E706" s="7"/>
      <c r="F706" s="7">
        <f t="shared" si="668"/>
        <v>500</v>
      </c>
      <c r="G706" s="7"/>
      <c r="H706" s="7">
        <f t="shared" si="669"/>
        <v>500</v>
      </c>
      <c r="I706" s="1"/>
      <c r="J706" s="1">
        <f t="shared" si="642"/>
        <v>500</v>
      </c>
      <c r="K706" s="1"/>
      <c r="L706" s="1">
        <f t="shared" si="670"/>
        <v>500</v>
      </c>
      <c r="N706" s="1">
        <f t="shared" si="671"/>
        <v>500</v>
      </c>
      <c r="O706" s="1"/>
      <c r="Q706" s="1">
        <f t="shared" si="673"/>
        <v>500</v>
      </c>
      <c r="T706" s="1">
        <f t="shared" si="675"/>
        <v>500</v>
      </c>
      <c r="U706" s="1">
        <f t="shared" si="675"/>
        <v>500</v>
      </c>
      <c r="V706" s="1">
        <f t="shared" si="676"/>
        <v>0</v>
      </c>
      <c r="W706" s="1">
        <f t="shared" si="677"/>
        <v>500</v>
      </c>
      <c r="X706" s="1">
        <v>100</v>
      </c>
      <c r="Y706" s="41">
        <f t="shared" si="639"/>
        <v>-400</v>
      </c>
      <c r="Z706" s="1">
        <f t="shared" si="711"/>
        <v>100</v>
      </c>
      <c r="AA706" s="1">
        <v>100</v>
      </c>
      <c r="AB706" s="1">
        <f t="shared" si="714"/>
        <v>0</v>
      </c>
      <c r="AC706" s="1">
        <f t="shared" si="712"/>
        <v>100</v>
      </c>
      <c r="AD706" s="41">
        <v>100</v>
      </c>
      <c r="AE706" s="1">
        <f t="shared" si="709"/>
        <v>0</v>
      </c>
      <c r="AF706" s="1">
        <f t="shared" si="710"/>
        <v>100</v>
      </c>
    </row>
    <row r="707" spans="1:32" outlineLevel="2">
      <c r="A707" s="11">
        <v>45900</v>
      </c>
      <c r="B707" s="11">
        <v>23120</v>
      </c>
      <c r="C707" s="11" t="s">
        <v>178</v>
      </c>
      <c r="D707" s="7">
        <v>600</v>
      </c>
      <c r="E707" s="7"/>
      <c r="F707" s="7">
        <f t="shared" si="668"/>
        <v>600</v>
      </c>
      <c r="G707" s="7"/>
      <c r="H707" s="7">
        <f t="shared" si="669"/>
        <v>600</v>
      </c>
      <c r="I707" s="1"/>
      <c r="J707" s="1">
        <f t="shared" si="642"/>
        <v>600</v>
      </c>
      <c r="K707" s="1"/>
      <c r="L707" s="1">
        <f t="shared" si="670"/>
        <v>600</v>
      </c>
      <c r="N707" s="1">
        <f t="shared" si="671"/>
        <v>600</v>
      </c>
      <c r="O707" s="1"/>
      <c r="Q707" s="1">
        <f t="shared" si="673"/>
        <v>600</v>
      </c>
      <c r="T707" s="1">
        <f t="shared" si="675"/>
        <v>600</v>
      </c>
      <c r="U707" s="1">
        <f t="shared" si="675"/>
        <v>600</v>
      </c>
      <c r="V707" s="1">
        <f t="shared" si="676"/>
        <v>0</v>
      </c>
      <c r="W707" s="1">
        <f t="shared" si="677"/>
        <v>600</v>
      </c>
      <c r="X707" s="1">
        <v>150</v>
      </c>
      <c r="Y707" s="41">
        <f t="shared" si="639"/>
        <v>-450</v>
      </c>
      <c r="Z707" s="1">
        <f t="shared" si="711"/>
        <v>150</v>
      </c>
      <c r="AA707" s="1">
        <v>150</v>
      </c>
      <c r="AB707" s="1">
        <f t="shared" si="714"/>
        <v>0</v>
      </c>
      <c r="AC707" s="1">
        <f t="shared" si="712"/>
        <v>150</v>
      </c>
      <c r="AD707" s="41">
        <v>150</v>
      </c>
      <c r="AE707" s="1">
        <f t="shared" si="709"/>
        <v>0</v>
      </c>
      <c r="AF707" s="1">
        <f t="shared" si="710"/>
        <v>150</v>
      </c>
    </row>
    <row r="708" spans="1:32" outlineLevel="2">
      <c r="A708" s="11">
        <v>45900</v>
      </c>
      <c r="B708" s="11">
        <v>62400</v>
      </c>
      <c r="C708" s="39" t="s">
        <v>848</v>
      </c>
      <c r="D708" s="7"/>
      <c r="E708" s="7"/>
      <c r="F708" s="7"/>
      <c r="G708" s="7"/>
      <c r="H708" s="7"/>
      <c r="I708" s="1"/>
      <c r="J708" s="1"/>
      <c r="K708" s="1"/>
      <c r="L708" s="1"/>
      <c r="N708" s="1"/>
      <c r="O708" s="1"/>
      <c r="T708" s="1"/>
      <c r="V708" s="1"/>
      <c r="W708" s="1"/>
      <c r="Y708" s="41"/>
      <c r="Z708" s="1">
        <v>0</v>
      </c>
      <c r="AA708" s="1">
        <f>50700+12540</f>
        <v>63240</v>
      </c>
      <c r="AB708" s="1">
        <f t="shared" si="714"/>
        <v>63240</v>
      </c>
      <c r="AC708" s="1">
        <f t="shared" si="712"/>
        <v>63240</v>
      </c>
      <c r="AD708" s="41">
        <v>47070</v>
      </c>
      <c r="AE708" s="1">
        <f t="shared" si="709"/>
        <v>-16170</v>
      </c>
      <c r="AF708" s="1">
        <f t="shared" si="710"/>
        <v>47070</v>
      </c>
    </row>
    <row r="709" spans="1:32" s="2" customFormat="1" outlineLevel="1">
      <c r="A709" s="9" t="s">
        <v>21</v>
      </c>
      <c r="B709" s="9"/>
      <c r="C709" s="9" t="s">
        <v>50</v>
      </c>
      <c r="D709" s="8">
        <f t="shared" ref="D709:Q709" si="717">SUBTOTAL(9,D670:D707)</f>
        <v>1144921.9700000002</v>
      </c>
      <c r="E709" s="8">
        <f t="shared" si="717"/>
        <v>975517.2699999999</v>
      </c>
      <c r="F709" s="8">
        <f t="shared" si="717"/>
        <v>169404.70000000004</v>
      </c>
      <c r="G709" s="8">
        <f t="shared" si="717"/>
        <v>69577.129999999961</v>
      </c>
      <c r="H709" s="8">
        <f t="shared" si="717"/>
        <v>1214499.1000000001</v>
      </c>
      <c r="I709" s="8">
        <f t="shared" si="717"/>
        <v>658262.84000000008</v>
      </c>
      <c r="J709" s="8">
        <f t="shared" si="717"/>
        <v>556236.25999999989</v>
      </c>
      <c r="K709" s="8">
        <f t="shared" si="717"/>
        <v>-317254.43</v>
      </c>
      <c r="L709" s="8">
        <f t="shared" si="717"/>
        <v>897244.66999999981</v>
      </c>
      <c r="M709" s="8">
        <f t="shared" si="717"/>
        <v>50992.220000000023</v>
      </c>
      <c r="N709" s="8">
        <f t="shared" si="717"/>
        <v>948236.89</v>
      </c>
      <c r="O709" s="8">
        <f t="shared" si="717"/>
        <v>533885.74</v>
      </c>
      <c r="P709" s="8">
        <f t="shared" si="717"/>
        <v>-125369.32</v>
      </c>
      <c r="Q709" s="8">
        <f t="shared" si="717"/>
        <v>822867.57</v>
      </c>
      <c r="R709" s="3"/>
      <c r="S709" s="8">
        <f>SUBTOTAL(9,S670:S707)</f>
        <v>-73948.189999999973</v>
      </c>
      <c r="T709" s="8">
        <f>SUBTOTAL(9,T670:T707)</f>
        <v>748919.37999999989</v>
      </c>
      <c r="U709" s="8">
        <f>SUBTOTAL(9,U670:U707)</f>
        <v>726188.47</v>
      </c>
      <c r="V709" s="8">
        <f>SUBTOTAL(9,V670:V707)</f>
        <v>-22730.910000000003</v>
      </c>
      <c r="W709" s="8">
        <f>SUBTOTAL(9,W670:W707)</f>
        <v>726188.47</v>
      </c>
      <c r="X709" s="8">
        <f t="shared" ref="X709:Y709" si="718">SUBTOTAL(9,X670:X707)</f>
        <v>761585.3</v>
      </c>
      <c r="Y709" s="8">
        <f t="shared" si="718"/>
        <v>35396.829999999987</v>
      </c>
      <c r="Z709" s="8">
        <f>SUBTOTAL(9,Z679:Z708)</f>
        <v>760656.58</v>
      </c>
      <c r="AA709" s="8">
        <f t="shared" ref="AA709:AF709" si="719">SUBTOTAL(9,AA679:AA708)</f>
        <v>794820.76</v>
      </c>
      <c r="AB709" s="8">
        <f t="shared" si="719"/>
        <v>34164.179999999993</v>
      </c>
      <c r="AC709" s="8">
        <f t="shared" si="719"/>
        <v>794820.76</v>
      </c>
      <c r="AD709" s="8">
        <f t="shared" si="719"/>
        <v>903067.77</v>
      </c>
      <c r="AE709" s="8">
        <f t="shared" si="719"/>
        <v>108247.01000000001</v>
      </c>
      <c r="AF709" s="8">
        <f t="shared" si="719"/>
        <v>903067.77</v>
      </c>
    </row>
    <row r="710" spans="1:32" outlineLevel="2">
      <c r="A710" s="11">
        <v>49300</v>
      </c>
      <c r="B710" s="11">
        <v>12003</v>
      </c>
      <c r="C710" s="42" t="s">
        <v>804</v>
      </c>
      <c r="D710" s="7"/>
      <c r="E710" s="7"/>
      <c r="F710" s="7"/>
      <c r="G710" s="7"/>
      <c r="H710" s="7"/>
      <c r="I710" s="1"/>
      <c r="J710" s="1"/>
      <c r="K710" s="1"/>
      <c r="L710" s="1"/>
      <c r="N710" s="1"/>
      <c r="O710" s="1"/>
      <c r="T710" s="1"/>
      <c r="V710" s="1"/>
      <c r="W710" s="1">
        <v>0</v>
      </c>
      <c r="X710" s="1">
        <v>9983.69</v>
      </c>
      <c r="Y710" s="41">
        <f t="shared" ref="Y710" si="720">X710-W710</f>
        <v>9983.69</v>
      </c>
      <c r="Z710" s="1">
        <f t="shared" ref="Z710" si="721">W710+Y710</f>
        <v>9983.69</v>
      </c>
      <c r="AA710" s="1">
        <v>10083.66</v>
      </c>
      <c r="AB710" s="1">
        <f t="shared" si="714"/>
        <v>99.969999999999345</v>
      </c>
      <c r="AC710" s="1">
        <f t="shared" ref="AC710:AC720" si="722">Z710+AB710</f>
        <v>10083.66</v>
      </c>
      <c r="AD710" s="41">
        <v>10235.01</v>
      </c>
      <c r="AE710" s="1">
        <f t="shared" ref="AE710:AE720" si="723">AD710-AC710</f>
        <v>151.35000000000036</v>
      </c>
      <c r="AF710" s="1">
        <f t="shared" ref="AF710:AF720" si="724">AC710+AE710</f>
        <v>10235.01</v>
      </c>
    </row>
    <row r="711" spans="1:32" outlineLevel="2">
      <c r="A711" s="11">
        <v>49300</v>
      </c>
      <c r="B711" s="11">
        <v>12100</v>
      </c>
      <c r="C711" s="11" t="s">
        <v>707</v>
      </c>
      <c r="D711" s="7">
        <v>44934.15</v>
      </c>
      <c r="E711" s="7">
        <v>19982.009999999998</v>
      </c>
      <c r="F711" s="7">
        <f>D711-E711</f>
        <v>24952.140000000003</v>
      </c>
      <c r="G711" s="7">
        <v>-24952.14</v>
      </c>
      <c r="H711" s="7">
        <f>D711+G711</f>
        <v>19982.010000000002</v>
      </c>
      <c r="I711" s="1">
        <v>24156.3</v>
      </c>
      <c r="J711" s="1">
        <f t="shared" ref="J711:J762" si="725">H711-I711</f>
        <v>-4174.2899999999972</v>
      </c>
      <c r="K711" s="1">
        <v>4174.29</v>
      </c>
      <c r="L711" s="1">
        <f t="shared" ref="L711:L720" si="726">H711+K711</f>
        <v>24156.300000000003</v>
      </c>
      <c r="M711" s="7">
        <f>20200.88-L711</f>
        <v>-3955.4200000000019</v>
      </c>
      <c r="N711" s="1">
        <f t="shared" ref="N711:N720" si="727">L711+M711</f>
        <v>20200.88</v>
      </c>
      <c r="O711" s="1">
        <v>20200.88</v>
      </c>
      <c r="P711" s="1">
        <f t="shared" ref="P711:P712" si="728">O711-N711</f>
        <v>0</v>
      </c>
      <c r="Q711" s="1">
        <f t="shared" ref="Q711:Q720" si="729">N711+P711</f>
        <v>20200.88</v>
      </c>
      <c r="R711" s="1">
        <v>20200.88</v>
      </c>
      <c r="S711" s="1">
        <f t="shared" ref="S711:S712" si="730">R711-Q711</f>
        <v>0</v>
      </c>
      <c r="T711" s="1">
        <f t="shared" ref="T711:U720" si="731">Q711+S711</f>
        <v>20200.88</v>
      </c>
      <c r="U711" s="1">
        <v>15301.86</v>
      </c>
      <c r="V711" s="1">
        <f t="shared" ref="V711:V720" si="732">U711-T711</f>
        <v>-4899.0200000000004</v>
      </c>
      <c r="W711" s="1">
        <f t="shared" ref="W711:W720" si="733">T711+V711</f>
        <v>15301.86</v>
      </c>
      <c r="X711" s="1">
        <v>20084.990000000002</v>
      </c>
      <c r="Y711" s="41">
        <f t="shared" si="639"/>
        <v>4783.130000000001</v>
      </c>
      <c r="Z711" s="1">
        <f t="shared" ref="Z711:Z720" si="734">W711+Y711</f>
        <v>20084.990000000002</v>
      </c>
      <c r="AA711" s="1">
        <v>5638.18</v>
      </c>
      <c r="AB711" s="1">
        <f t="shared" si="714"/>
        <v>-14446.810000000001</v>
      </c>
      <c r="AC711" s="1">
        <f t="shared" si="722"/>
        <v>5638.18</v>
      </c>
      <c r="AD711" s="41">
        <v>5722.79</v>
      </c>
      <c r="AE711" s="1">
        <f t="shared" si="723"/>
        <v>84.609999999999673</v>
      </c>
      <c r="AF711" s="1">
        <f t="shared" si="724"/>
        <v>5722.79</v>
      </c>
    </row>
    <row r="712" spans="1:32" outlineLevel="2">
      <c r="A712" s="11">
        <v>49300</v>
      </c>
      <c r="B712" s="11">
        <v>12101</v>
      </c>
      <c r="C712" s="11" t="s">
        <v>708</v>
      </c>
      <c r="D712" s="7">
        <v>0</v>
      </c>
      <c r="E712" s="7">
        <v>25086.94</v>
      </c>
      <c r="F712" s="7">
        <f>D712-E712</f>
        <v>-25086.94</v>
      </c>
      <c r="G712" s="7">
        <v>25086.94</v>
      </c>
      <c r="H712" s="7">
        <f>D712+G712</f>
        <v>25086.94</v>
      </c>
      <c r="I712" s="1">
        <v>32264.54</v>
      </c>
      <c r="J712" s="1">
        <f t="shared" si="725"/>
        <v>-7177.6000000000022</v>
      </c>
      <c r="K712" s="1">
        <v>7177.6</v>
      </c>
      <c r="L712" s="1">
        <f t="shared" si="726"/>
        <v>32264.54</v>
      </c>
      <c r="M712" s="7">
        <f>29744.68-L712</f>
        <v>-2519.8600000000006</v>
      </c>
      <c r="N712" s="1">
        <f t="shared" si="727"/>
        <v>29744.68</v>
      </c>
      <c r="O712" s="1">
        <v>29744.68</v>
      </c>
      <c r="P712" s="1">
        <f t="shared" si="728"/>
        <v>0</v>
      </c>
      <c r="Q712" s="1">
        <f t="shared" si="729"/>
        <v>29744.68</v>
      </c>
      <c r="R712" s="1">
        <v>29744.68</v>
      </c>
      <c r="S712" s="1">
        <f t="shared" si="730"/>
        <v>0</v>
      </c>
      <c r="T712" s="1">
        <f t="shared" si="731"/>
        <v>29744.68</v>
      </c>
      <c r="U712" s="1">
        <v>23250.639999999999</v>
      </c>
      <c r="V712" s="1">
        <f t="shared" si="732"/>
        <v>-6494.0400000000009</v>
      </c>
      <c r="W712" s="1">
        <f t="shared" si="733"/>
        <v>23250.639999999999</v>
      </c>
      <c r="X712" s="1">
        <v>29095.599999999999</v>
      </c>
      <c r="Y712" s="41">
        <f t="shared" si="639"/>
        <v>5844.9599999999991</v>
      </c>
      <c r="Z712" s="1">
        <f t="shared" si="734"/>
        <v>29095.599999999999</v>
      </c>
      <c r="AA712" s="1">
        <v>7261.03</v>
      </c>
      <c r="AB712" s="1">
        <f t="shared" si="714"/>
        <v>-21834.57</v>
      </c>
      <c r="AC712" s="1">
        <f t="shared" si="722"/>
        <v>7261.0299999999988</v>
      </c>
      <c r="AD712" s="41">
        <v>7370.02</v>
      </c>
      <c r="AE712" s="1">
        <f t="shared" si="723"/>
        <v>108.9900000000016</v>
      </c>
      <c r="AF712" s="1">
        <f t="shared" si="724"/>
        <v>7370.02</v>
      </c>
    </row>
    <row r="713" spans="1:32" outlineLevel="2">
      <c r="A713" s="11">
        <v>49300</v>
      </c>
      <c r="B713" s="59">
        <v>16000</v>
      </c>
      <c r="C713" s="55" t="s">
        <v>760</v>
      </c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>
        <v>0</v>
      </c>
      <c r="U713" s="53"/>
      <c r="V713" s="53">
        <f t="shared" si="732"/>
        <v>0</v>
      </c>
      <c r="W713" s="53">
        <f t="shared" si="733"/>
        <v>0</v>
      </c>
      <c r="X713" s="1">
        <v>0</v>
      </c>
      <c r="Y713" s="41">
        <f t="shared" si="639"/>
        <v>0</v>
      </c>
      <c r="Z713" s="1">
        <f t="shared" si="734"/>
        <v>0</v>
      </c>
      <c r="AA713" s="1">
        <v>0</v>
      </c>
      <c r="AB713" s="1">
        <f t="shared" si="714"/>
        <v>0</v>
      </c>
      <c r="AC713" s="1">
        <f t="shared" si="722"/>
        <v>0</v>
      </c>
      <c r="AD713" s="41">
        <v>7161.64</v>
      </c>
      <c r="AE713" s="1">
        <f t="shared" si="723"/>
        <v>7161.64</v>
      </c>
      <c r="AF713" s="1">
        <f t="shared" si="724"/>
        <v>7161.64</v>
      </c>
    </row>
    <row r="714" spans="1:32" outlineLevel="2">
      <c r="A714" s="11">
        <v>49300</v>
      </c>
      <c r="B714" s="11">
        <v>20300</v>
      </c>
      <c r="C714" s="11" t="s">
        <v>709</v>
      </c>
      <c r="D714" s="7">
        <v>501.12</v>
      </c>
      <c r="E714" s="7"/>
      <c r="F714" s="7">
        <f t="shared" si="668"/>
        <v>501.12</v>
      </c>
      <c r="G714" s="7"/>
      <c r="H714" s="7">
        <f t="shared" ref="H714:H720" si="735">D714+G714</f>
        <v>501.12</v>
      </c>
      <c r="I714" s="1"/>
      <c r="J714" s="1">
        <f t="shared" si="725"/>
        <v>501.12</v>
      </c>
      <c r="K714" s="1"/>
      <c r="L714" s="1">
        <f t="shared" si="726"/>
        <v>501.12</v>
      </c>
      <c r="N714" s="1">
        <f t="shared" si="727"/>
        <v>501.12</v>
      </c>
      <c r="O714" s="1"/>
      <c r="Q714" s="1">
        <f t="shared" si="729"/>
        <v>501.12</v>
      </c>
      <c r="T714" s="1">
        <f t="shared" si="731"/>
        <v>501.12</v>
      </c>
      <c r="U714" s="1">
        <f t="shared" si="731"/>
        <v>501.12</v>
      </c>
      <c r="V714" s="1">
        <f t="shared" si="732"/>
        <v>0</v>
      </c>
      <c r="W714" s="1">
        <f t="shared" si="733"/>
        <v>501.12</v>
      </c>
      <c r="X714" s="1">
        <v>300</v>
      </c>
      <c r="Y714" s="41">
        <f t="shared" si="639"/>
        <v>-201.12</v>
      </c>
      <c r="Z714" s="1">
        <f t="shared" si="734"/>
        <v>300</v>
      </c>
      <c r="AA714" s="1">
        <v>0</v>
      </c>
      <c r="AB714" s="1">
        <f t="shared" ref="AB714:AB749" si="736">AA714-Z714</f>
        <v>-300</v>
      </c>
      <c r="AC714" s="1">
        <f t="shared" si="722"/>
        <v>0</v>
      </c>
      <c r="AD714" s="41">
        <v>0</v>
      </c>
      <c r="AE714" s="1">
        <f t="shared" si="723"/>
        <v>0</v>
      </c>
      <c r="AF714" s="1">
        <f t="shared" si="724"/>
        <v>0</v>
      </c>
    </row>
    <row r="715" spans="1:32" s="2" customFormat="1" outlineLevel="1">
      <c r="A715" s="11">
        <v>49300</v>
      </c>
      <c r="B715" s="11">
        <v>21300</v>
      </c>
      <c r="C715" s="11" t="s">
        <v>380</v>
      </c>
      <c r="D715" s="7">
        <v>450.76</v>
      </c>
      <c r="E715" s="7"/>
      <c r="F715" s="7">
        <f t="shared" si="668"/>
        <v>450.76</v>
      </c>
      <c r="G715" s="7"/>
      <c r="H715" s="7">
        <f t="shared" si="735"/>
        <v>450.76</v>
      </c>
      <c r="I715" s="1"/>
      <c r="J715" s="1">
        <f t="shared" si="725"/>
        <v>450.76</v>
      </c>
      <c r="K715" s="1"/>
      <c r="L715" s="1">
        <f t="shared" si="726"/>
        <v>450.76</v>
      </c>
      <c r="M715" s="7"/>
      <c r="N715" s="1">
        <f t="shared" si="727"/>
        <v>450.76</v>
      </c>
      <c r="O715" s="1"/>
      <c r="P715" s="3"/>
      <c r="Q715" s="1">
        <f t="shared" si="729"/>
        <v>450.76</v>
      </c>
      <c r="R715" s="3"/>
      <c r="S715" s="3"/>
      <c r="T715" s="1">
        <f t="shared" si="731"/>
        <v>450.76</v>
      </c>
      <c r="U715" s="1">
        <f t="shared" si="731"/>
        <v>450.76</v>
      </c>
      <c r="V715" s="1">
        <f t="shared" si="732"/>
        <v>0</v>
      </c>
      <c r="W715" s="1">
        <f t="shared" si="733"/>
        <v>450.76</v>
      </c>
      <c r="X715" s="41">
        <v>2000</v>
      </c>
      <c r="Y715" s="41">
        <f t="shared" ref="Y715:Y770" si="737">X715-W715</f>
        <v>1549.24</v>
      </c>
      <c r="Z715" s="1">
        <f t="shared" si="734"/>
        <v>2000</v>
      </c>
      <c r="AA715" s="41">
        <v>2000</v>
      </c>
      <c r="AB715" s="1">
        <f t="shared" si="736"/>
        <v>0</v>
      </c>
      <c r="AC715" s="1">
        <f t="shared" si="722"/>
        <v>2000</v>
      </c>
      <c r="AD715" s="41">
        <v>1000</v>
      </c>
      <c r="AE715" s="1">
        <f t="shared" si="723"/>
        <v>-1000</v>
      </c>
      <c r="AF715" s="1">
        <f t="shared" si="724"/>
        <v>1000</v>
      </c>
    </row>
    <row r="716" spans="1:32" outlineLevel="2">
      <c r="A716" s="11">
        <v>49300</v>
      </c>
      <c r="B716" s="11">
        <v>22000</v>
      </c>
      <c r="C716" s="11" t="s">
        <v>280</v>
      </c>
      <c r="D716" s="7">
        <v>300.51</v>
      </c>
      <c r="E716" s="7"/>
      <c r="F716" s="7">
        <f t="shared" si="668"/>
        <v>300.51</v>
      </c>
      <c r="G716" s="7"/>
      <c r="H716" s="7">
        <f t="shared" si="735"/>
        <v>300.51</v>
      </c>
      <c r="I716" s="1"/>
      <c r="J716" s="1">
        <f t="shared" si="725"/>
        <v>300.51</v>
      </c>
      <c r="K716" s="1"/>
      <c r="L716" s="1">
        <f t="shared" si="726"/>
        <v>300.51</v>
      </c>
      <c r="M716" s="8"/>
      <c r="N716" s="1">
        <f t="shared" si="727"/>
        <v>300.51</v>
      </c>
      <c r="O716" s="1"/>
      <c r="Q716" s="1">
        <f t="shared" si="729"/>
        <v>300.51</v>
      </c>
      <c r="T716" s="1">
        <f t="shared" si="731"/>
        <v>300.51</v>
      </c>
      <c r="U716" s="1">
        <f t="shared" si="731"/>
        <v>300.51</v>
      </c>
      <c r="V716" s="1">
        <f t="shared" si="732"/>
        <v>0</v>
      </c>
      <c r="W716" s="1">
        <f t="shared" si="733"/>
        <v>300.51</v>
      </c>
      <c r="X716" s="1">
        <v>100</v>
      </c>
      <c r="Y716" s="41">
        <f t="shared" si="737"/>
        <v>-200.51</v>
      </c>
      <c r="Z716" s="1">
        <f t="shared" si="734"/>
        <v>100</v>
      </c>
      <c r="AA716" s="1">
        <v>100</v>
      </c>
      <c r="AB716" s="1">
        <f t="shared" si="736"/>
        <v>0</v>
      </c>
      <c r="AC716" s="1">
        <f t="shared" si="722"/>
        <v>100</v>
      </c>
      <c r="AD716" s="41">
        <v>100</v>
      </c>
      <c r="AE716" s="1">
        <f t="shared" si="723"/>
        <v>0</v>
      </c>
      <c r="AF716" s="1">
        <f t="shared" si="724"/>
        <v>100</v>
      </c>
    </row>
    <row r="717" spans="1:32" outlineLevel="2">
      <c r="A717" s="11">
        <v>49300</v>
      </c>
      <c r="B717" s="11">
        <v>22199</v>
      </c>
      <c r="C717" s="11" t="s">
        <v>232</v>
      </c>
      <c r="D717" s="7">
        <v>100</v>
      </c>
      <c r="E717" s="7"/>
      <c r="F717" s="7">
        <f t="shared" si="668"/>
        <v>100</v>
      </c>
      <c r="G717" s="7"/>
      <c r="H717" s="7">
        <f t="shared" si="735"/>
        <v>100</v>
      </c>
      <c r="I717" s="1"/>
      <c r="J717" s="1">
        <f t="shared" si="725"/>
        <v>100</v>
      </c>
      <c r="K717" s="1"/>
      <c r="L717" s="1">
        <f t="shared" si="726"/>
        <v>100</v>
      </c>
      <c r="N717" s="1">
        <f t="shared" si="727"/>
        <v>100</v>
      </c>
      <c r="O717" s="1"/>
      <c r="Q717" s="1">
        <f t="shared" si="729"/>
        <v>100</v>
      </c>
      <c r="T717" s="1">
        <f t="shared" si="731"/>
        <v>100</v>
      </c>
      <c r="U717" s="1">
        <f t="shared" si="731"/>
        <v>100</v>
      </c>
      <c r="V717" s="1">
        <f t="shared" si="732"/>
        <v>0</v>
      </c>
      <c r="W717" s="1">
        <f t="shared" si="733"/>
        <v>100</v>
      </c>
      <c r="X717" s="1">
        <v>100</v>
      </c>
      <c r="Y717" s="41">
        <f t="shared" si="737"/>
        <v>0</v>
      </c>
      <c r="Z717" s="1">
        <f t="shared" si="734"/>
        <v>100</v>
      </c>
      <c r="AA717" s="1">
        <v>100</v>
      </c>
      <c r="AB717" s="1">
        <f t="shared" si="736"/>
        <v>0</v>
      </c>
      <c r="AC717" s="1">
        <f t="shared" si="722"/>
        <v>100</v>
      </c>
      <c r="AD717" s="41">
        <v>100</v>
      </c>
      <c r="AE717" s="1">
        <f t="shared" si="723"/>
        <v>0</v>
      </c>
      <c r="AF717" s="1">
        <f t="shared" si="724"/>
        <v>100</v>
      </c>
    </row>
    <row r="718" spans="1:32" outlineLevel="2">
      <c r="A718" s="11">
        <v>49300</v>
      </c>
      <c r="B718" s="11">
        <v>22606</v>
      </c>
      <c r="C718" s="11" t="s">
        <v>417</v>
      </c>
      <c r="D718" s="7">
        <v>1568.55</v>
      </c>
      <c r="E718" s="7"/>
      <c r="F718" s="7">
        <f t="shared" si="668"/>
        <v>1568.55</v>
      </c>
      <c r="G718" s="7">
        <v>-568.54999999999995</v>
      </c>
      <c r="H718" s="7">
        <f t="shared" si="735"/>
        <v>1000</v>
      </c>
      <c r="I718" s="1"/>
      <c r="J718" s="1">
        <f t="shared" si="725"/>
        <v>1000</v>
      </c>
      <c r="K718" s="1"/>
      <c r="L718" s="1">
        <f t="shared" si="726"/>
        <v>1000</v>
      </c>
      <c r="N718" s="1">
        <f t="shared" si="727"/>
        <v>1000</v>
      </c>
      <c r="O718" s="1"/>
      <c r="Q718" s="1">
        <f t="shared" si="729"/>
        <v>1000</v>
      </c>
      <c r="T718" s="1">
        <f t="shared" si="731"/>
        <v>1000</v>
      </c>
      <c r="U718" s="1">
        <f t="shared" si="731"/>
        <v>1000</v>
      </c>
      <c r="V718" s="1">
        <f t="shared" si="732"/>
        <v>0</v>
      </c>
      <c r="W718" s="1">
        <f t="shared" si="733"/>
        <v>1000</v>
      </c>
      <c r="X718" s="1">
        <v>1000</v>
      </c>
      <c r="Y718" s="41">
        <f t="shared" si="737"/>
        <v>0</v>
      </c>
      <c r="Z718" s="1">
        <f t="shared" si="734"/>
        <v>1000</v>
      </c>
      <c r="AA718" s="1">
        <v>1000</v>
      </c>
      <c r="AB718" s="1">
        <f t="shared" si="736"/>
        <v>0</v>
      </c>
      <c r="AC718" s="1">
        <f t="shared" si="722"/>
        <v>1000</v>
      </c>
      <c r="AD718" s="41">
        <v>1000</v>
      </c>
      <c r="AE718" s="1">
        <f t="shared" si="723"/>
        <v>0</v>
      </c>
      <c r="AF718" s="1">
        <f t="shared" si="724"/>
        <v>1000</v>
      </c>
    </row>
    <row r="719" spans="1:32" outlineLevel="2">
      <c r="A719" s="11">
        <v>49300</v>
      </c>
      <c r="B719" s="11">
        <v>23020</v>
      </c>
      <c r="C719" s="11" t="s">
        <v>385</v>
      </c>
      <c r="D719" s="7">
        <v>450.76</v>
      </c>
      <c r="E719" s="7"/>
      <c r="F719" s="7">
        <f t="shared" si="668"/>
        <v>450.76</v>
      </c>
      <c r="G719" s="7"/>
      <c r="H719" s="7">
        <f t="shared" si="735"/>
        <v>450.76</v>
      </c>
      <c r="I719" s="1"/>
      <c r="J719" s="1">
        <f t="shared" si="725"/>
        <v>450.76</v>
      </c>
      <c r="K719" s="1"/>
      <c r="L719" s="1">
        <f t="shared" si="726"/>
        <v>450.76</v>
      </c>
      <c r="N719" s="1">
        <f t="shared" si="727"/>
        <v>450.76</v>
      </c>
      <c r="O719" s="1"/>
      <c r="Q719" s="1">
        <f t="shared" si="729"/>
        <v>450.76</v>
      </c>
      <c r="T719" s="1">
        <f t="shared" si="731"/>
        <v>450.76</v>
      </c>
      <c r="U719" s="1">
        <f t="shared" si="731"/>
        <v>450.76</v>
      </c>
      <c r="V719" s="1">
        <f t="shared" si="732"/>
        <v>0</v>
      </c>
      <c r="W719" s="1">
        <f t="shared" si="733"/>
        <v>450.76</v>
      </c>
      <c r="X719" s="1">
        <v>100</v>
      </c>
      <c r="Y719" s="41">
        <f t="shared" si="737"/>
        <v>-350.76</v>
      </c>
      <c r="Z719" s="1">
        <f t="shared" si="734"/>
        <v>100</v>
      </c>
      <c r="AA719" s="1">
        <v>100</v>
      </c>
      <c r="AB719" s="1">
        <f t="shared" si="736"/>
        <v>0</v>
      </c>
      <c r="AC719" s="1">
        <f t="shared" si="722"/>
        <v>100</v>
      </c>
      <c r="AD719" s="41">
        <v>100</v>
      </c>
      <c r="AE719" s="1">
        <f t="shared" si="723"/>
        <v>0</v>
      </c>
      <c r="AF719" s="1">
        <f t="shared" si="724"/>
        <v>100</v>
      </c>
    </row>
    <row r="720" spans="1:32" s="2" customFormat="1" outlineLevel="1">
      <c r="A720" s="11">
        <v>49300</v>
      </c>
      <c r="B720" s="11">
        <v>23120</v>
      </c>
      <c r="C720" s="11" t="s">
        <v>386</v>
      </c>
      <c r="D720" s="7">
        <v>450.76</v>
      </c>
      <c r="E720" s="7"/>
      <c r="F720" s="7">
        <f t="shared" si="668"/>
        <v>450.76</v>
      </c>
      <c r="G720" s="7"/>
      <c r="H720" s="7">
        <f t="shared" si="735"/>
        <v>450.76</v>
      </c>
      <c r="I720" s="3"/>
      <c r="J720" s="1">
        <f t="shared" si="725"/>
        <v>450.76</v>
      </c>
      <c r="K720" s="3"/>
      <c r="L720" s="1">
        <f t="shared" si="726"/>
        <v>450.76</v>
      </c>
      <c r="M720" s="7"/>
      <c r="N720" s="1">
        <f t="shared" si="727"/>
        <v>450.76</v>
      </c>
      <c r="O720" s="1"/>
      <c r="P720" s="3"/>
      <c r="Q720" s="1">
        <f t="shared" si="729"/>
        <v>450.76</v>
      </c>
      <c r="R720" s="3"/>
      <c r="S720" s="3"/>
      <c r="T720" s="1">
        <f t="shared" si="731"/>
        <v>450.76</v>
      </c>
      <c r="U720" s="1">
        <f t="shared" si="731"/>
        <v>450.76</v>
      </c>
      <c r="V720" s="1">
        <f t="shared" si="732"/>
        <v>0</v>
      </c>
      <c r="W720" s="1">
        <f t="shared" si="733"/>
        <v>450.76</v>
      </c>
      <c r="X720" s="41">
        <v>100</v>
      </c>
      <c r="Y720" s="41">
        <f t="shared" si="737"/>
        <v>-350.76</v>
      </c>
      <c r="Z720" s="1">
        <f t="shared" si="734"/>
        <v>100</v>
      </c>
      <c r="AA720" s="41">
        <v>100</v>
      </c>
      <c r="AB720" s="1">
        <f t="shared" si="736"/>
        <v>0</v>
      </c>
      <c r="AC720" s="1">
        <f t="shared" si="722"/>
        <v>100</v>
      </c>
      <c r="AD720" s="41">
        <v>100</v>
      </c>
      <c r="AE720" s="1">
        <f t="shared" si="723"/>
        <v>0</v>
      </c>
      <c r="AF720" s="1">
        <f t="shared" si="724"/>
        <v>100</v>
      </c>
    </row>
    <row r="721" spans="1:32" s="2" customFormat="1" outlineLevel="1">
      <c r="A721" s="9" t="s">
        <v>22</v>
      </c>
      <c r="B721" s="9"/>
      <c r="C721" s="9" t="s">
        <v>706</v>
      </c>
      <c r="D721" s="8">
        <f t="shared" ref="D721:Q721" si="738">SUBTOTAL(9,D710:D720)</f>
        <v>48756.610000000015</v>
      </c>
      <c r="E721" s="8">
        <f t="shared" si="738"/>
        <v>45068.95</v>
      </c>
      <c r="F721" s="8">
        <f t="shared" si="738"/>
        <v>3687.6600000000044</v>
      </c>
      <c r="G721" s="8">
        <f t="shared" si="738"/>
        <v>-433.75000000000068</v>
      </c>
      <c r="H721" s="8">
        <f t="shared" si="738"/>
        <v>48322.860000000008</v>
      </c>
      <c r="I721" s="8">
        <f t="shared" si="738"/>
        <v>56420.84</v>
      </c>
      <c r="J721" s="8">
        <f t="shared" si="738"/>
        <v>-8097.9799999999977</v>
      </c>
      <c r="K721" s="8">
        <f t="shared" si="738"/>
        <v>11351.89</v>
      </c>
      <c r="L721" s="8">
        <f t="shared" si="738"/>
        <v>59674.750000000015</v>
      </c>
      <c r="M721" s="8">
        <f t="shared" si="738"/>
        <v>-6475.2800000000025</v>
      </c>
      <c r="N721" s="8">
        <f t="shared" si="738"/>
        <v>53199.470000000008</v>
      </c>
      <c r="O721" s="8">
        <f t="shared" si="738"/>
        <v>49945.56</v>
      </c>
      <c r="P721" s="8">
        <f t="shared" si="738"/>
        <v>0</v>
      </c>
      <c r="Q721" s="8">
        <f t="shared" si="738"/>
        <v>53199.470000000008</v>
      </c>
      <c r="R721" s="3"/>
      <c r="S721" s="8">
        <f t="shared" ref="S721:AF721" si="739">SUBTOTAL(9,S710:S720)</f>
        <v>0</v>
      </c>
      <c r="T721" s="8">
        <f t="shared" si="739"/>
        <v>53199.470000000008</v>
      </c>
      <c r="U721" s="8">
        <f t="shared" si="739"/>
        <v>41806.410000000011</v>
      </c>
      <c r="V721" s="8">
        <f t="shared" si="739"/>
        <v>-11393.060000000001</v>
      </c>
      <c r="W721" s="8">
        <f t="shared" si="739"/>
        <v>41806.410000000011</v>
      </c>
      <c r="X721" s="8">
        <f t="shared" si="739"/>
        <v>62864.28</v>
      </c>
      <c r="Y721" s="8">
        <f t="shared" si="739"/>
        <v>21057.870000000006</v>
      </c>
      <c r="Z721" s="8">
        <f t="shared" si="739"/>
        <v>62864.28</v>
      </c>
      <c r="AA721" s="8">
        <f t="shared" si="739"/>
        <v>26382.87</v>
      </c>
      <c r="AB721" s="8">
        <f t="shared" si="739"/>
        <v>-36481.410000000003</v>
      </c>
      <c r="AC721" s="8">
        <f t="shared" si="739"/>
        <v>26382.87</v>
      </c>
      <c r="AD721" s="8">
        <f t="shared" si="739"/>
        <v>32889.46</v>
      </c>
      <c r="AE721" s="8">
        <f t="shared" si="739"/>
        <v>6506.590000000002</v>
      </c>
      <c r="AF721" s="8">
        <f t="shared" si="739"/>
        <v>32889.46</v>
      </c>
    </row>
    <row r="722" spans="1:32" s="2" customFormat="1" outlineLevel="1">
      <c r="A722" s="11">
        <v>91200</v>
      </c>
      <c r="B722" s="11">
        <v>10000</v>
      </c>
      <c r="C722" s="11" t="s">
        <v>510</v>
      </c>
      <c r="D722" s="7">
        <v>136921.68</v>
      </c>
      <c r="E722" s="7">
        <v>69830.05</v>
      </c>
      <c r="F722" s="7">
        <f t="shared" si="668"/>
        <v>67091.62999999999</v>
      </c>
      <c r="G722" s="7">
        <v>-67091.63</v>
      </c>
      <c r="H722" s="7">
        <f t="shared" ref="H722:H737" si="740">D722+G722</f>
        <v>69830.049999999988</v>
      </c>
      <c r="I722" s="1">
        <v>136921.68</v>
      </c>
      <c r="J722" s="1">
        <f t="shared" si="725"/>
        <v>-67091.63</v>
      </c>
      <c r="K722" s="1">
        <v>67091.63</v>
      </c>
      <c r="L722" s="1">
        <f t="shared" ref="L722:L738" si="741">H722+K722</f>
        <v>136921.68</v>
      </c>
      <c r="M722" s="7">
        <f>181593.02-L722</f>
        <v>44671.34</v>
      </c>
      <c r="N722" s="1">
        <f t="shared" ref="N722:N749" si="742">L722+M722</f>
        <v>181593.02</v>
      </c>
      <c r="O722" s="1">
        <v>181593.02</v>
      </c>
      <c r="P722" s="1">
        <f>O722-N722</f>
        <v>0</v>
      </c>
      <c r="Q722" s="1">
        <f t="shared" ref="Q722:Q749" si="743">N722+P722</f>
        <v>181593.02</v>
      </c>
      <c r="R722" s="41">
        <v>181593.02</v>
      </c>
      <c r="S722" s="1">
        <f>R722-Q722</f>
        <v>0</v>
      </c>
      <c r="T722" s="1">
        <f t="shared" ref="T722:U749" si="744">Q722+S722</f>
        <v>181593.02</v>
      </c>
      <c r="U722" s="41">
        <v>163433.67000000001</v>
      </c>
      <c r="V722" s="1">
        <f t="shared" ref="V722:V749" si="745">U722-T722</f>
        <v>-18159.349999999977</v>
      </c>
      <c r="W722" s="1">
        <f t="shared" ref="W722:W749" si="746">T722+V722</f>
        <v>163433.67000000001</v>
      </c>
      <c r="X722" s="41">
        <v>165068.09</v>
      </c>
      <c r="Y722" s="41">
        <f t="shared" si="737"/>
        <v>1634.4199999999837</v>
      </c>
      <c r="Z722" s="1">
        <f t="shared" ref="Z722:Z749" si="747">W722+Y722</f>
        <v>165068.09</v>
      </c>
      <c r="AA722" s="41">
        <v>166718.93</v>
      </c>
      <c r="AB722" s="1">
        <f t="shared" si="736"/>
        <v>1650.8399999999965</v>
      </c>
      <c r="AC722" s="1">
        <f t="shared" ref="AC722:AC749" si="748">Z722+AB722</f>
        <v>166718.93</v>
      </c>
      <c r="AD722" s="41">
        <v>167544.26999999999</v>
      </c>
      <c r="AE722" s="1">
        <f t="shared" ref="AE722:AE749" si="749">AD722-AC722</f>
        <v>825.33999999999651</v>
      </c>
      <c r="AF722" s="1">
        <f t="shared" ref="AF722:AF749" si="750">AC722+AE722</f>
        <v>167544.26999999999</v>
      </c>
    </row>
    <row r="723" spans="1:32" s="2" customFormat="1" outlineLevel="1">
      <c r="A723" s="11">
        <v>91200</v>
      </c>
      <c r="B723" s="59">
        <v>16000</v>
      </c>
      <c r="C723" s="55" t="s">
        <v>761</v>
      </c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>
        <v>0</v>
      </c>
      <c r="U723" s="53"/>
      <c r="V723" s="53">
        <f t="shared" si="745"/>
        <v>0</v>
      </c>
      <c r="W723" s="53">
        <f t="shared" si="746"/>
        <v>0</v>
      </c>
      <c r="X723" s="41">
        <v>0</v>
      </c>
      <c r="Y723" s="41">
        <f t="shared" si="737"/>
        <v>0</v>
      </c>
      <c r="Z723" s="1">
        <f t="shared" si="747"/>
        <v>0</v>
      </c>
      <c r="AA723" s="41">
        <v>0</v>
      </c>
      <c r="AB723" s="1">
        <f t="shared" si="736"/>
        <v>0</v>
      </c>
      <c r="AC723" s="1">
        <f t="shared" si="748"/>
        <v>0</v>
      </c>
      <c r="AD723" s="41">
        <v>53446.62</v>
      </c>
      <c r="AE723" s="1">
        <f t="shared" si="749"/>
        <v>53446.62</v>
      </c>
      <c r="AF723" s="1">
        <f t="shared" si="750"/>
        <v>53446.62</v>
      </c>
    </row>
    <row r="724" spans="1:32" s="2" customFormat="1" outlineLevel="1">
      <c r="A724" s="11">
        <v>91200</v>
      </c>
      <c r="B724" s="11">
        <v>20300</v>
      </c>
      <c r="C724" s="11" t="s">
        <v>227</v>
      </c>
      <c r="D724" s="7">
        <v>2000</v>
      </c>
      <c r="E724" s="7"/>
      <c r="F724" s="7">
        <f t="shared" si="668"/>
        <v>2000</v>
      </c>
      <c r="G724" s="7"/>
      <c r="H724" s="7">
        <f t="shared" si="740"/>
        <v>2000</v>
      </c>
      <c r="I724" s="1"/>
      <c r="J724" s="1">
        <f t="shared" si="725"/>
        <v>2000</v>
      </c>
      <c r="K724" s="1"/>
      <c r="L724" s="1">
        <f t="shared" si="741"/>
        <v>2000</v>
      </c>
      <c r="M724" s="7"/>
      <c r="N724" s="1">
        <f t="shared" si="742"/>
        <v>2000</v>
      </c>
      <c r="O724" s="1"/>
      <c r="P724" s="3"/>
      <c r="Q724" s="1">
        <f t="shared" si="743"/>
        <v>2000</v>
      </c>
      <c r="R724" s="3"/>
      <c r="S724" s="3"/>
      <c r="T724" s="1">
        <f t="shared" si="744"/>
        <v>2000</v>
      </c>
      <c r="U724" s="1">
        <f t="shared" si="744"/>
        <v>2000</v>
      </c>
      <c r="V724" s="1">
        <f t="shared" si="745"/>
        <v>0</v>
      </c>
      <c r="W724" s="1">
        <f t="shared" si="746"/>
        <v>2000</v>
      </c>
      <c r="X724" s="41">
        <v>5000</v>
      </c>
      <c r="Y724" s="41">
        <f t="shared" si="737"/>
        <v>3000</v>
      </c>
      <c r="Z724" s="1">
        <f t="shared" si="747"/>
        <v>5000</v>
      </c>
      <c r="AA724" s="41">
        <v>5000</v>
      </c>
      <c r="AB724" s="1">
        <f t="shared" si="736"/>
        <v>0</v>
      </c>
      <c r="AC724" s="1">
        <f t="shared" si="748"/>
        <v>5000</v>
      </c>
      <c r="AD724" s="41">
        <v>1000</v>
      </c>
      <c r="AE724" s="1">
        <f t="shared" si="749"/>
        <v>-4000</v>
      </c>
      <c r="AF724" s="1">
        <f t="shared" si="750"/>
        <v>1000</v>
      </c>
    </row>
    <row r="725" spans="1:32" s="2" customFormat="1" outlineLevel="1">
      <c r="A725" s="11">
        <v>91200</v>
      </c>
      <c r="B725" s="11">
        <v>21400</v>
      </c>
      <c r="C725" s="11" t="s">
        <v>228</v>
      </c>
      <c r="D725" s="7">
        <v>1200</v>
      </c>
      <c r="E725" s="7"/>
      <c r="F725" s="7">
        <f t="shared" si="668"/>
        <v>1200</v>
      </c>
      <c r="G725" s="7">
        <v>2000</v>
      </c>
      <c r="H725" s="7">
        <f t="shared" si="740"/>
        <v>3200</v>
      </c>
      <c r="I725" s="1"/>
      <c r="J725" s="1">
        <f t="shared" si="725"/>
        <v>3200</v>
      </c>
      <c r="K725" s="1"/>
      <c r="L725" s="1">
        <f t="shared" si="741"/>
        <v>3200</v>
      </c>
      <c r="M725" s="7"/>
      <c r="N725" s="1">
        <f t="shared" si="742"/>
        <v>3200</v>
      </c>
      <c r="O725" s="1"/>
      <c r="P725" s="3"/>
      <c r="Q725" s="1">
        <f t="shared" si="743"/>
        <v>3200</v>
      </c>
      <c r="R725" s="3"/>
      <c r="S725" s="3"/>
      <c r="T725" s="1">
        <f t="shared" si="744"/>
        <v>3200</v>
      </c>
      <c r="U725" s="1">
        <f t="shared" si="744"/>
        <v>3200</v>
      </c>
      <c r="V725" s="1">
        <f t="shared" si="745"/>
        <v>0</v>
      </c>
      <c r="W725" s="1">
        <f t="shared" si="746"/>
        <v>3200</v>
      </c>
      <c r="X725" s="41">
        <v>1000</v>
      </c>
      <c r="Y725" s="41">
        <f t="shared" si="737"/>
        <v>-2200</v>
      </c>
      <c r="Z725" s="1">
        <f t="shared" si="747"/>
        <v>1000</v>
      </c>
      <c r="AA725" s="41">
        <v>1000</v>
      </c>
      <c r="AB725" s="1">
        <f t="shared" si="736"/>
        <v>0</v>
      </c>
      <c r="AC725" s="1">
        <f t="shared" si="748"/>
        <v>1000</v>
      </c>
      <c r="AD725" s="41">
        <v>0</v>
      </c>
      <c r="AE725" s="1">
        <f t="shared" si="749"/>
        <v>-1000</v>
      </c>
      <c r="AF725" s="1">
        <f t="shared" si="750"/>
        <v>0</v>
      </c>
    </row>
    <row r="726" spans="1:32" s="2" customFormat="1" outlineLevel="1">
      <c r="A726" s="11">
        <v>91200</v>
      </c>
      <c r="B726" s="11">
        <v>22000</v>
      </c>
      <c r="C726" s="11" t="s">
        <v>229</v>
      </c>
      <c r="D726" s="7">
        <v>2355.9699999999998</v>
      </c>
      <c r="E726" s="7"/>
      <c r="F726" s="7">
        <f t="shared" si="668"/>
        <v>2355.9699999999998</v>
      </c>
      <c r="G726" s="7"/>
      <c r="H726" s="7">
        <f t="shared" si="740"/>
        <v>2355.9699999999998</v>
      </c>
      <c r="I726" s="1"/>
      <c r="J726" s="1">
        <f t="shared" si="725"/>
        <v>2355.9699999999998</v>
      </c>
      <c r="K726" s="1"/>
      <c r="L726" s="1">
        <f t="shared" si="741"/>
        <v>2355.9699999999998</v>
      </c>
      <c r="M726" s="7"/>
      <c r="N726" s="1">
        <f t="shared" si="742"/>
        <v>2355.9699999999998</v>
      </c>
      <c r="O726" s="1"/>
      <c r="P726" s="3"/>
      <c r="Q726" s="1">
        <f t="shared" si="743"/>
        <v>2355.9699999999998</v>
      </c>
      <c r="R726" s="3"/>
      <c r="S726" s="3"/>
      <c r="T726" s="1">
        <f t="shared" si="744"/>
        <v>2355.9699999999998</v>
      </c>
      <c r="U726" s="1">
        <f t="shared" si="744"/>
        <v>2355.9699999999998</v>
      </c>
      <c r="V726" s="1">
        <f t="shared" si="745"/>
        <v>0</v>
      </c>
      <c r="W726" s="1">
        <f t="shared" si="746"/>
        <v>2355.9699999999998</v>
      </c>
      <c r="X726" s="41">
        <v>500</v>
      </c>
      <c r="Y726" s="41">
        <f t="shared" si="737"/>
        <v>-1855.9699999999998</v>
      </c>
      <c r="Z726" s="1">
        <f t="shared" si="747"/>
        <v>500</v>
      </c>
      <c r="AA726" s="41">
        <v>500</v>
      </c>
      <c r="AB726" s="1">
        <f t="shared" si="736"/>
        <v>0</v>
      </c>
      <c r="AC726" s="1">
        <f t="shared" si="748"/>
        <v>500</v>
      </c>
      <c r="AD726" s="41">
        <v>100</v>
      </c>
      <c r="AE726" s="1">
        <f t="shared" si="749"/>
        <v>-400</v>
      </c>
      <c r="AF726" s="1">
        <f t="shared" si="750"/>
        <v>100</v>
      </c>
    </row>
    <row r="727" spans="1:32" outlineLevel="2">
      <c r="A727" s="11">
        <v>91200</v>
      </c>
      <c r="B727" s="11">
        <v>22001</v>
      </c>
      <c r="C727" s="11" t="s">
        <v>230</v>
      </c>
      <c r="D727" s="7">
        <v>20385.55</v>
      </c>
      <c r="E727" s="7"/>
      <c r="F727" s="7">
        <f t="shared" si="668"/>
        <v>20385.55</v>
      </c>
      <c r="G727" s="7"/>
      <c r="H727" s="7">
        <f t="shared" si="740"/>
        <v>20385.55</v>
      </c>
      <c r="I727" s="1"/>
      <c r="J727" s="1">
        <f t="shared" si="725"/>
        <v>20385.55</v>
      </c>
      <c r="K727" s="1"/>
      <c r="L727" s="1">
        <f t="shared" si="741"/>
        <v>20385.55</v>
      </c>
      <c r="N727" s="1">
        <f t="shared" si="742"/>
        <v>20385.55</v>
      </c>
      <c r="O727" s="1"/>
      <c r="Q727" s="1">
        <f t="shared" si="743"/>
        <v>20385.55</v>
      </c>
      <c r="T727" s="1">
        <f t="shared" si="744"/>
        <v>20385.55</v>
      </c>
      <c r="U727" s="1">
        <f t="shared" si="744"/>
        <v>20385.55</v>
      </c>
      <c r="V727" s="1">
        <f t="shared" si="745"/>
        <v>0</v>
      </c>
      <c r="W727" s="1">
        <f t="shared" si="746"/>
        <v>20385.55</v>
      </c>
      <c r="X727" s="1">
        <v>1000</v>
      </c>
      <c r="Y727" s="41">
        <f t="shared" si="737"/>
        <v>-19385.55</v>
      </c>
      <c r="Z727" s="1">
        <f t="shared" si="747"/>
        <v>1000</v>
      </c>
      <c r="AA727" s="41">
        <v>1000</v>
      </c>
      <c r="AB727" s="1">
        <f t="shared" si="736"/>
        <v>0</v>
      </c>
      <c r="AC727" s="1">
        <f t="shared" si="748"/>
        <v>1000</v>
      </c>
      <c r="AD727" s="41">
        <v>2000</v>
      </c>
      <c r="AE727" s="1">
        <f t="shared" si="749"/>
        <v>1000</v>
      </c>
      <c r="AF727" s="1">
        <f t="shared" si="750"/>
        <v>2000</v>
      </c>
    </row>
    <row r="728" spans="1:32" outlineLevel="2">
      <c r="A728" s="11">
        <v>91200</v>
      </c>
      <c r="B728" s="11">
        <v>22103</v>
      </c>
      <c r="C728" s="11" t="s">
        <v>231</v>
      </c>
      <c r="D728" s="7">
        <v>2355.9699999999998</v>
      </c>
      <c r="E728" s="7"/>
      <c r="F728" s="7">
        <f t="shared" si="668"/>
        <v>2355.9699999999998</v>
      </c>
      <c r="G728" s="7">
        <v>2000</v>
      </c>
      <c r="H728" s="7">
        <f t="shared" si="740"/>
        <v>4355.9699999999993</v>
      </c>
      <c r="I728" s="1"/>
      <c r="J728" s="1">
        <f t="shared" si="725"/>
        <v>4355.9699999999993</v>
      </c>
      <c r="K728" s="1"/>
      <c r="L728" s="1">
        <f t="shared" si="741"/>
        <v>4355.9699999999993</v>
      </c>
      <c r="N728" s="1">
        <f t="shared" si="742"/>
        <v>4355.9699999999993</v>
      </c>
      <c r="O728" s="1"/>
      <c r="Q728" s="1">
        <f t="shared" si="743"/>
        <v>4355.9699999999993</v>
      </c>
      <c r="T728" s="1">
        <f t="shared" si="744"/>
        <v>4355.9699999999993</v>
      </c>
      <c r="U728" s="1">
        <f t="shared" si="744"/>
        <v>4355.9699999999993</v>
      </c>
      <c r="V728" s="1">
        <f t="shared" si="745"/>
        <v>0</v>
      </c>
      <c r="W728" s="1">
        <f t="shared" si="746"/>
        <v>4355.9699999999993</v>
      </c>
      <c r="X728" s="1">
        <v>4000</v>
      </c>
      <c r="Y728" s="41">
        <f t="shared" si="737"/>
        <v>-355.96999999999935</v>
      </c>
      <c r="Z728" s="1">
        <f t="shared" si="747"/>
        <v>4000</v>
      </c>
      <c r="AA728" s="41">
        <v>4000</v>
      </c>
      <c r="AB728" s="1">
        <f t="shared" si="736"/>
        <v>0</v>
      </c>
      <c r="AC728" s="1">
        <f t="shared" si="748"/>
        <v>4000</v>
      </c>
      <c r="AD728" s="41">
        <v>0</v>
      </c>
      <c r="AE728" s="1">
        <f t="shared" si="749"/>
        <v>-4000</v>
      </c>
      <c r="AF728" s="1">
        <f t="shared" si="750"/>
        <v>0</v>
      </c>
    </row>
    <row r="729" spans="1:32" outlineLevel="2">
      <c r="A729" s="11">
        <v>91200</v>
      </c>
      <c r="B729" s="11">
        <v>22199</v>
      </c>
      <c r="C729" s="11" t="s">
        <v>232</v>
      </c>
      <c r="D729" s="7">
        <v>5889.92</v>
      </c>
      <c r="E729" s="7"/>
      <c r="F729" s="7">
        <f t="shared" si="668"/>
        <v>5889.92</v>
      </c>
      <c r="G729" s="7"/>
      <c r="H729" s="7">
        <f t="shared" si="740"/>
        <v>5889.92</v>
      </c>
      <c r="I729" s="1"/>
      <c r="J729" s="1">
        <f t="shared" si="725"/>
        <v>5889.92</v>
      </c>
      <c r="K729" s="1"/>
      <c r="L729" s="1">
        <f t="shared" si="741"/>
        <v>5889.92</v>
      </c>
      <c r="N729" s="1">
        <f t="shared" si="742"/>
        <v>5889.92</v>
      </c>
      <c r="O729" s="1"/>
      <c r="Q729" s="1">
        <f t="shared" si="743"/>
        <v>5889.92</v>
      </c>
      <c r="T729" s="1">
        <f t="shared" si="744"/>
        <v>5889.92</v>
      </c>
      <c r="U729" s="1">
        <f t="shared" si="744"/>
        <v>5889.92</v>
      </c>
      <c r="V729" s="1">
        <f t="shared" si="745"/>
        <v>0</v>
      </c>
      <c r="W729" s="1">
        <f t="shared" si="746"/>
        <v>5889.92</v>
      </c>
      <c r="X729" s="1">
        <v>3000</v>
      </c>
      <c r="Y729" s="41">
        <f t="shared" si="737"/>
        <v>-2889.92</v>
      </c>
      <c r="Z729" s="1">
        <f t="shared" si="747"/>
        <v>3000</v>
      </c>
      <c r="AA729" s="41">
        <v>3000</v>
      </c>
      <c r="AB729" s="1">
        <f t="shared" si="736"/>
        <v>0</v>
      </c>
      <c r="AC729" s="1">
        <f t="shared" si="748"/>
        <v>3000</v>
      </c>
      <c r="AD729" s="41">
        <v>1000</v>
      </c>
      <c r="AE729" s="1">
        <f t="shared" si="749"/>
        <v>-2000</v>
      </c>
      <c r="AF729" s="1">
        <f t="shared" si="750"/>
        <v>1000</v>
      </c>
    </row>
    <row r="730" spans="1:32" outlineLevel="2">
      <c r="A730" s="11">
        <v>91200</v>
      </c>
      <c r="B730" s="11">
        <v>22601</v>
      </c>
      <c r="C730" s="11" t="s">
        <v>705</v>
      </c>
      <c r="D730" s="7">
        <v>76555.19</v>
      </c>
      <c r="E730" s="7"/>
      <c r="F730" s="7">
        <f t="shared" si="668"/>
        <v>76555.19</v>
      </c>
      <c r="G730" s="7">
        <f>-6555.19-200</f>
        <v>-6755.19</v>
      </c>
      <c r="H730" s="7">
        <f t="shared" si="740"/>
        <v>69800</v>
      </c>
      <c r="I730" s="1"/>
      <c r="J730" s="1">
        <f t="shared" si="725"/>
        <v>69800</v>
      </c>
      <c r="K730" s="1"/>
      <c r="L730" s="1">
        <f t="shared" si="741"/>
        <v>69800</v>
      </c>
      <c r="M730" s="8"/>
      <c r="N730" s="1">
        <f t="shared" si="742"/>
        <v>69800</v>
      </c>
      <c r="O730" s="1"/>
      <c r="Q730" s="1">
        <f t="shared" si="743"/>
        <v>69800</v>
      </c>
      <c r="T730" s="1">
        <f t="shared" si="744"/>
        <v>69800</v>
      </c>
      <c r="U730" s="1">
        <f t="shared" si="744"/>
        <v>69800</v>
      </c>
      <c r="V730" s="1">
        <f t="shared" si="745"/>
        <v>0</v>
      </c>
      <c r="W730" s="1">
        <f t="shared" si="746"/>
        <v>69800</v>
      </c>
      <c r="X730" s="1">
        <v>40000</v>
      </c>
      <c r="Y730" s="41">
        <f t="shared" si="737"/>
        <v>-29800</v>
      </c>
      <c r="Z730" s="1">
        <f t="shared" si="747"/>
        <v>40000</v>
      </c>
      <c r="AA730" s="41">
        <v>40000</v>
      </c>
      <c r="AB730" s="1">
        <f t="shared" si="736"/>
        <v>0</v>
      </c>
      <c r="AC730" s="1">
        <f t="shared" si="748"/>
        <v>40000</v>
      </c>
      <c r="AD730" s="41">
        <v>30000</v>
      </c>
      <c r="AE730" s="1">
        <f t="shared" si="749"/>
        <v>-10000</v>
      </c>
      <c r="AF730" s="1">
        <f t="shared" si="750"/>
        <v>30000</v>
      </c>
    </row>
    <row r="731" spans="1:32" outlineLevel="2">
      <c r="A731" s="11">
        <v>91200</v>
      </c>
      <c r="B731" s="11">
        <v>22602</v>
      </c>
      <c r="C731" s="11" t="s">
        <v>704</v>
      </c>
      <c r="D731" s="7">
        <v>93759.83</v>
      </c>
      <c r="E731" s="7"/>
      <c r="F731" s="7">
        <f t="shared" si="668"/>
        <v>93759.83</v>
      </c>
      <c r="G731" s="7">
        <v>-13759.83</v>
      </c>
      <c r="H731" s="7">
        <f t="shared" si="740"/>
        <v>80000</v>
      </c>
      <c r="I731" s="1"/>
      <c r="J731" s="1">
        <f t="shared" si="725"/>
        <v>80000</v>
      </c>
      <c r="K731" s="1"/>
      <c r="L731" s="1">
        <f t="shared" si="741"/>
        <v>80000</v>
      </c>
      <c r="N731" s="1">
        <f t="shared" si="742"/>
        <v>80000</v>
      </c>
      <c r="O731" s="1"/>
      <c r="Q731" s="1">
        <f t="shared" si="743"/>
        <v>80000</v>
      </c>
      <c r="T731" s="1">
        <f t="shared" si="744"/>
        <v>80000</v>
      </c>
      <c r="U731" s="1">
        <f t="shared" si="744"/>
        <v>80000</v>
      </c>
      <c r="V731" s="1">
        <f t="shared" si="745"/>
        <v>0</v>
      </c>
      <c r="W731" s="1">
        <f t="shared" si="746"/>
        <v>80000</v>
      </c>
      <c r="X731" s="1">
        <v>225000</v>
      </c>
      <c r="Y731" s="41">
        <f t="shared" si="737"/>
        <v>145000</v>
      </c>
      <c r="Z731" s="1">
        <f t="shared" si="747"/>
        <v>225000</v>
      </c>
      <c r="AA731" s="41">
        <v>225000</v>
      </c>
      <c r="AB731" s="1">
        <f t="shared" si="736"/>
        <v>0</v>
      </c>
      <c r="AC731" s="1">
        <f t="shared" si="748"/>
        <v>225000</v>
      </c>
      <c r="AD731" s="41">
        <v>210000</v>
      </c>
      <c r="AE731" s="1">
        <f t="shared" si="749"/>
        <v>-15000</v>
      </c>
      <c r="AF731" s="1">
        <f t="shared" si="750"/>
        <v>210000</v>
      </c>
    </row>
    <row r="732" spans="1:32" outlineLevel="2">
      <c r="A732" s="11">
        <v>91200</v>
      </c>
      <c r="B732" s="11">
        <v>22699</v>
      </c>
      <c r="C732" s="39" t="s">
        <v>256</v>
      </c>
      <c r="D732" s="7"/>
      <c r="E732" s="7"/>
      <c r="F732" s="7"/>
      <c r="G732" s="7"/>
      <c r="H732" s="7"/>
      <c r="I732" s="1"/>
      <c r="J732" s="1"/>
      <c r="K732" s="1"/>
      <c r="L732" s="1"/>
      <c r="N732" s="1"/>
      <c r="O732" s="1"/>
      <c r="T732" s="1">
        <v>0</v>
      </c>
      <c r="U732" s="1">
        <v>10000</v>
      </c>
      <c r="V732" s="1">
        <f t="shared" ref="V732" si="751">U732-T732</f>
        <v>10000</v>
      </c>
      <c r="W732" s="1">
        <f t="shared" ref="W732" si="752">T732+V732</f>
        <v>10000</v>
      </c>
      <c r="X732" s="1">
        <v>30000</v>
      </c>
      <c r="Y732" s="41">
        <f t="shared" si="737"/>
        <v>20000</v>
      </c>
      <c r="Z732" s="1">
        <f t="shared" si="747"/>
        <v>30000</v>
      </c>
      <c r="AA732" s="41">
        <v>30000</v>
      </c>
      <c r="AB732" s="1">
        <f t="shared" si="736"/>
        <v>0</v>
      </c>
      <c r="AC732" s="1">
        <f t="shared" si="748"/>
        <v>30000</v>
      </c>
      <c r="AD732" s="41">
        <v>40000</v>
      </c>
      <c r="AE732" s="1">
        <f t="shared" si="749"/>
        <v>10000</v>
      </c>
      <c r="AF732" s="1">
        <f t="shared" si="750"/>
        <v>40000</v>
      </c>
    </row>
    <row r="733" spans="1:32" outlineLevel="2">
      <c r="A733" s="11">
        <v>91200</v>
      </c>
      <c r="B733" s="11">
        <v>22706</v>
      </c>
      <c r="C733" s="42" t="s">
        <v>902</v>
      </c>
      <c r="D733" s="7">
        <v>10000</v>
      </c>
      <c r="E733" s="7"/>
      <c r="F733" s="7">
        <f t="shared" si="668"/>
        <v>10000</v>
      </c>
      <c r="G733" s="7"/>
      <c r="H733" s="7">
        <f t="shared" si="740"/>
        <v>10000</v>
      </c>
      <c r="I733" s="1"/>
      <c r="J733" s="1">
        <f t="shared" si="725"/>
        <v>10000</v>
      </c>
      <c r="K733" s="1"/>
      <c r="L733" s="1">
        <f t="shared" si="741"/>
        <v>10000</v>
      </c>
      <c r="N733" s="1">
        <f t="shared" si="742"/>
        <v>10000</v>
      </c>
      <c r="O733" s="1"/>
      <c r="Q733" s="1">
        <f t="shared" si="743"/>
        <v>10000</v>
      </c>
      <c r="T733" s="1">
        <f t="shared" si="744"/>
        <v>10000</v>
      </c>
      <c r="U733" s="1">
        <v>40000</v>
      </c>
      <c r="V733" s="1">
        <f t="shared" si="745"/>
        <v>30000</v>
      </c>
      <c r="W733" s="1">
        <f t="shared" si="746"/>
        <v>40000</v>
      </c>
      <c r="X733" s="1">
        <v>40000</v>
      </c>
      <c r="Y733" s="41">
        <f t="shared" si="737"/>
        <v>0</v>
      </c>
      <c r="Z733" s="1">
        <f t="shared" si="747"/>
        <v>40000</v>
      </c>
      <c r="AA733" s="41">
        <v>40000</v>
      </c>
      <c r="AB733" s="1">
        <f t="shared" si="736"/>
        <v>0</v>
      </c>
      <c r="AC733" s="1">
        <f t="shared" si="748"/>
        <v>40000</v>
      </c>
      <c r="AD733" s="41">
        <v>20000</v>
      </c>
      <c r="AE733" s="1">
        <f t="shared" si="749"/>
        <v>-20000</v>
      </c>
      <c r="AF733" s="1">
        <f t="shared" si="750"/>
        <v>20000</v>
      </c>
    </row>
    <row r="734" spans="1:32" outlineLevel="2">
      <c r="A734" s="11">
        <v>91200</v>
      </c>
      <c r="B734" s="11">
        <v>23000</v>
      </c>
      <c r="C734" s="11" t="s">
        <v>703</v>
      </c>
      <c r="D734" s="7">
        <v>150000</v>
      </c>
      <c r="E734" s="7"/>
      <c r="F734" s="7">
        <f t="shared" si="668"/>
        <v>150000</v>
      </c>
      <c r="G734" s="7"/>
      <c r="H734" s="7">
        <f t="shared" si="740"/>
        <v>150000</v>
      </c>
      <c r="I734" s="1"/>
      <c r="J734" s="1">
        <f t="shared" si="725"/>
        <v>150000</v>
      </c>
      <c r="K734" s="1"/>
      <c r="L734" s="1">
        <f t="shared" si="741"/>
        <v>150000</v>
      </c>
      <c r="N734" s="1">
        <f t="shared" si="742"/>
        <v>150000</v>
      </c>
      <c r="O734" s="1"/>
      <c r="Q734" s="1">
        <f t="shared" si="743"/>
        <v>150000</v>
      </c>
      <c r="T734" s="1">
        <f t="shared" si="744"/>
        <v>150000</v>
      </c>
      <c r="U734" s="1">
        <f t="shared" si="744"/>
        <v>150000</v>
      </c>
      <c r="V734" s="1">
        <f t="shared" si="745"/>
        <v>0</v>
      </c>
      <c r="W734" s="1">
        <f t="shared" si="746"/>
        <v>150000</v>
      </c>
      <c r="X734" s="1">
        <v>160000</v>
      </c>
      <c r="Y734" s="41">
        <f t="shared" si="737"/>
        <v>10000</v>
      </c>
      <c r="Z734" s="1">
        <f t="shared" si="747"/>
        <v>160000</v>
      </c>
      <c r="AA734" s="41">
        <v>160000</v>
      </c>
      <c r="AB734" s="1">
        <f t="shared" si="736"/>
        <v>0</v>
      </c>
      <c r="AC734" s="1">
        <f t="shared" si="748"/>
        <v>160000</v>
      </c>
      <c r="AD734" s="41">
        <v>195000</v>
      </c>
      <c r="AE734" s="1">
        <f t="shared" si="749"/>
        <v>35000</v>
      </c>
      <c r="AF734" s="1">
        <f t="shared" si="750"/>
        <v>195000</v>
      </c>
    </row>
    <row r="735" spans="1:32" outlineLevel="2">
      <c r="A735" s="11">
        <v>91200</v>
      </c>
      <c r="B735" s="11">
        <v>23100</v>
      </c>
      <c r="C735" s="11" t="s">
        <v>233</v>
      </c>
      <c r="D735" s="7">
        <v>7511.58</v>
      </c>
      <c r="E735" s="7"/>
      <c r="F735" s="7">
        <f t="shared" si="668"/>
        <v>7511.58</v>
      </c>
      <c r="G735" s="7">
        <v>-2511.58</v>
      </c>
      <c r="H735" s="7">
        <f t="shared" si="740"/>
        <v>5000</v>
      </c>
      <c r="I735" s="1"/>
      <c r="J735" s="1">
        <f t="shared" si="725"/>
        <v>5000</v>
      </c>
      <c r="K735" s="1"/>
      <c r="L735" s="1">
        <f t="shared" si="741"/>
        <v>5000</v>
      </c>
      <c r="N735" s="1">
        <f t="shared" si="742"/>
        <v>5000</v>
      </c>
      <c r="O735" s="1"/>
      <c r="Q735" s="1">
        <f t="shared" si="743"/>
        <v>5000</v>
      </c>
      <c r="T735" s="1">
        <f t="shared" si="744"/>
        <v>5000</v>
      </c>
      <c r="U735" s="1">
        <f t="shared" si="744"/>
        <v>5000</v>
      </c>
      <c r="V735" s="1">
        <f t="shared" si="745"/>
        <v>0</v>
      </c>
      <c r="W735" s="1">
        <f t="shared" si="746"/>
        <v>5000</v>
      </c>
      <c r="X735" s="1">
        <v>5000</v>
      </c>
      <c r="Y735" s="41">
        <f t="shared" si="737"/>
        <v>0</v>
      </c>
      <c r="Z735" s="1">
        <f t="shared" si="747"/>
        <v>5000</v>
      </c>
      <c r="AA735" s="41">
        <v>5000</v>
      </c>
      <c r="AB735" s="1">
        <f t="shared" si="736"/>
        <v>0</v>
      </c>
      <c r="AC735" s="1">
        <f t="shared" si="748"/>
        <v>5000</v>
      </c>
      <c r="AD735" s="41">
        <v>5000</v>
      </c>
      <c r="AE735" s="1">
        <f t="shared" si="749"/>
        <v>0</v>
      </c>
      <c r="AF735" s="1">
        <f t="shared" si="750"/>
        <v>5000</v>
      </c>
    </row>
    <row r="736" spans="1:32" outlineLevel="2">
      <c r="A736" s="11">
        <v>91200</v>
      </c>
      <c r="B736" s="11">
        <v>48000</v>
      </c>
      <c r="C736" s="11" t="s">
        <v>234</v>
      </c>
      <c r="D736" s="7">
        <v>5000</v>
      </c>
      <c r="E736" s="7"/>
      <c r="F736" s="7">
        <f>D736-E736</f>
        <v>5000</v>
      </c>
      <c r="G736" s="7"/>
      <c r="H736" s="7">
        <f t="shared" si="740"/>
        <v>5000</v>
      </c>
      <c r="I736" s="1"/>
      <c r="J736" s="1">
        <f t="shared" si="725"/>
        <v>5000</v>
      </c>
      <c r="K736" s="1"/>
      <c r="L736" s="1">
        <f t="shared" si="741"/>
        <v>5000</v>
      </c>
      <c r="N736" s="1">
        <f t="shared" si="742"/>
        <v>5000</v>
      </c>
      <c r="O736" s="1"/>
      <c r="Q736" s="1">
        <f t="shared" si="743"/>
        <v>5000</v>
      </c>
      <c r="T736" s="1">
        <f t="shared" si="744"/>
        <v>5000</v>
      </c>
      <c r="U736" s="1">
        <f t="shared" si="744"/>
        <v>5000</v>
      </c>
      <c r="V736" s="1">
        <f t="shared" si="745"/>
        <v>0</v>
      </c>
      <c r="W736" s="1">
        <f t="shared" si="746"/>
        <v>5000</v>
      </c>
      <c r="X736" s="1">
        <v>5000</v>
      </c>
      <c r="Y736" s="41">
        <f t="shared" si="737"/>
        <v>0</v>
      </c>
      <c r="Z736" s="1">
        <f t="shared" si="747"/>
        <v>5000</v>
      </c>
      <c r="AA736" s="41">
        <v>5000</v>
      </c>
      <c r="AB736" s="1">
        <f t="shared" si="736"/>
        <v>0</v>
      </c>
      <c r="AC736" s="1">
        <f t="shared" si="748"/>
        <v>5000</v>
      </c>
      <c r="AD736" s="41">
        <v>10000</v>
      </c>
      <c r="AE736" s="1">
        <f t="shared" si="749"/>
        <v>5000</v>
      </c>
      <c r="AF736" s="1">
        <f t="shared" si="750"/>
        <v>10000</v>
      </c>
    </row>
    <row r="737" spans="1:32" outlineLevel="2">
      <c r="A737" s="11">
        <v>91200</v>
      </c>
      <c r="B737" s="11">
        <v>48900</v>
      </c>
      <c r="C737" s="11" t="s">
        <v>235</v>
      </c>
      <c r="D737" s="7">
        <v>15395</v>
      </c>
      <c r="E737" s="7"/>
      <c r="F737" s="7">
        <f>D737-E737</f>
        <v>15395</v>
      </c>
      <c r="G737" s="7"/>
      <c r="H737" s="7">
        <f t="shared" si="740"/>
        <v>15395</v>
      </c>
      <c r="I737" s="3"/>
      <c r="J737" s="1">
        <f t="shared" si="725"/>
        <v>15395</v>
      </c>
      <c r="K737" s="3"/>
      <c r="L737" s="1">
        <f t="shared" si="741"/>
        <v>15395</v>
      </c>
      <c r="N737" s="1">
        <f t="shared" si="742"/>
        <v>15395</v>
      </c>
      <c r="O737" s="1"/>
      <c r="Q737" s="1">
        <f t="shared" si="743"/>
        <v>15395</v>
      </c>
      <c r="R737" s="1">
        <v>8891</v>
      </c>
      <c r="T737" s="1">
        <f t="shared" si="744"/>
        <v>15395</v>
      </c>
      <c r="U737" s="1">
        <f>8891+2502.54</f>
        <v>11393.54</v>
      </c>
      <c r="V737" s="1">
        <f t="shared" si="745"/>
        <v>-4001.4599999999991</v>
      </c>
      <c r="W737" s="1">
        <f t="shared" si="746"/>
        <v>11393.54</v>
      </c>
      <c r="X737" s="1">
        <v>12500</v>
      </c>
      <c r="Y737" s="41">
        <f t="shared" si="737"/>
        <v>1106.4599999999991</v>
      </c>
      <c r="Z737" s="1">
        <f t="shared" si="747"/>
        <v>12500</v>
      </c>
      <c r="AA737" s="1">
        <v>16000</v>
      </c>
      <c r="AB737" s="1">
        <f t="shared" si="736"/>
        <v>3500</v>
      </c>
      <c r="AC737" s="1">
        <f t="shared" si="748"/>
        <v>16000</v>
      </c>
      <c r="AD737" s="41">
        <v>17000</v>
      </c>
      <c r="AE737" s="1">
        <f t="shared" si="749"/>
        <v>1000</v>
      </c>
      <c r="AF737" s="1">
        <f t="shared" si="750"/>
        <v>17000</v>
      </c>
    </row>
    <row r="738" spans="1:32" s="11" customFormat="1" outlineLevel="2">
      <c r="A738" s="11">
        <v>91200</v>
      </c>
      <c r="B738" s="11">
        <v>75000</v>
      </c>
      <c r="C738" s="11" t="s">
        <v>627</v>
      </c>
      <c r="D738" s="7"/>
      <c r="E738" s="7"/>
      <c r="F738" s="7"/>
      <c r="G738" s="7"/>
      <c r="H738" s="7">
        <v>0</v>
      </c>
      <c r="I738" s="10">
        <v>1140000</v>
      </c>
      <c r="J738" s="7">
        <f t="shared" si="725"/>
        <v>-1140000</v>
      </c>
      <c r="K738" s="10">
        <v>1140000</v>
      </c>
      <c r="L738" s="7">
        <f t="shared" si="741"/>
        <v>1140000</v>
      </c>
      <c r="M738" s="7">
        <v>-1140000</v>
      </c>
      <c r="N738" s="7">
        <f t="shared" si="742"/>
        <v>0</v>
      </c>
      <c r="O738" s="7"/>
      <c r="P738" s="7"/>
      <c r="Q738" s="1">
        <f t="shared" si="743"/>
        <v>0</v>
      </c>
      <c r="R738" s="7"/>
      <c r="S738" s="7"/>
      <c r="T738" s="1">
        <f t="shared" si="744"/>
        <v>0</v>
      </c>
      <c r="U738" s="7"/>
      <c r="V738" s="1">
        <f t="shared" si="745"/>
        <v>0</v>
      </c>
      <c r="W738" s="1">
        <f t="shared" si="746"/>
        <v>0</v>
      </c>
      <c r="X738" s="7">
        <v>0</v>
      </c>
      <c r="Y738" s="41">
        <f t="shared" si="737"/>
        <v>0</v>
      </c>
      <c r="Z738" s="1">
        <f t="shared" si="747"/>
        <v>0</v>
      </c>
      <c r="AA738" s="7">
        <v>0</v>
      </c>
      <c r="AB738" s="1">
        <f t="shared" si="736"/>
        <v>0</v>
      </c>
      <c r="AC738" s="1">
        <f t="shared" si="748"/>
        <v>0</v>
      </c>
      <c r="AD738" s="47">
        <v>0</v>
      </c>
      <c r="AE738" s="1">
        <f t="shared" si="749"/>
        <v>0</v>
      </c>
      <c r="AF738" s="1">
        <f t="shared" si="750"/>
        <v>0</v>
      </c>
    </row>
    <row r="739" spans="1:32" outlineLevel="2">
      <c r="A739" s="11">
        <v>91210</v>
      </c>
      <c r="B739" s="11">
        <v>12003</v>
      </c>
      <c r="C739" s="11" t="s">
        <v>599</v>
      </c>
      <c r="D739" s="7"/>
      <c r="E739" s="7"/>
      <c r="F739" s="7"/>
      <c r="G739" s="7"/>
      <c r="H739" s="7">
        <v>0</v>
      </c>
      <c r="I739" s="7">
        <v>9884.84</v>
      </c>
      <c r="J739" s="7">
        <f t="shared" ref="J739:J749" si="753">H739-I739</f>
        <v>-9884.84</v>
      </c>
      <c r="K739" s="7">
        <v>9884.84</v>
      </c>
      <c r="L739" s="7">
        <v>9884.84</v>
      </c>
      <c r="M739" s="7">
        <v>0</v>
      </c>
      <c r="N739" s="7">
        <f t="shared" si="742"/>
        <v>9884.84</v>
      </c>
      <c r="O739" s="7">
        <v>9884.84</v>
      </c>
      <c r="P739" s="1">
        <f>O739-N739</f>
        <v>0</v>
      </c>
      <c r="Q739" s="1">
        <f t="shared" si="743"/>
        <v>9884.84</v>
      </c>
      <c r="R739" s="1">
        <v>9884.84</v>
      </c>
      <c r="S739" s="1">
        <f>R739-Q739</f>
        <v>0</v>
      </c>
      <c r="T739" s="1">
        <f t="shared" si="744"/>
        <v>9884.84</v>
      </c>
      <c r="U739" s="1">
        <v>9884.84</v>
      </c>
      <c r="V739" s="1">
        <f t="shared" si="745"/>
        <v>0</v>
      </c>
      <c r="W739" s="1">
        <f t="shared" si="746"/>
        <v>9884.84</v>
      </c>
      <c r="X739" s="1">
        <v>10805.52</v>
      </c>
      <c r="Y739" s="41">
        <f t="shared" si="737"/>
        <v>920.68000000000029</v>
      </c>
      <c r="Z739" s="1">
        <f t="shared" si="747"/>
        <v>10805.52</v>
      </c>
      <c r="AA739" s="1">
        <v>10083.65</v>
      </c>
      <c r="AB739" s="1">
        <f t="shared" si="736"/>
        <v>-721.8700000000008</v>
      </c>
      <c r="AC739" s="1">
        <f t="shared" si="748"/>
        <v>10083.65</v>
      </c>
      <c r="AD739" s="41">
        <v>10235.01</v>
      </c>
      <c r="AE739" s="1">
        <f t="shared" si="749"/>
        <v>151.36000000000058</v>
      </c>
      <c r="AF739" s="1">
        <f t="shared" si="750"/>
        <v>10235.01</v>
      </c>
    </row>
    <row r="740" spans="1:32" outlineLevel="2">
      <c r="A740" s="11">
        <v>91210</v>
      </c>
      <c r="B740" s="11">
        <v>12006</v>
      </c>
      <c r="C740" s="11" t="s">
        <v>81</v>
      </c>
      <c r="D740" s="7">
        <v>0</v>
      </c>
      <c r="E740" s="7">
        <v>858.65</v>
      </c>
      <c r="F740" s="7">
        <f>D740-E740</f>
        <v>-858.65</v>
      </c>
      <c r="G740" s="7">
        <v>858.65</v>
      </c>
      <c r="H740" s="7">
        <f>D740+G740</f>
        <v>858.65</v>
      </c>
      <c r="I740" s="7">
        <v>1355.62</v>
      </c>
      <c r="J740" s="7">
        <f t="shared" si="753"/>
        <v>-496.96999999999991</v>
      </c>
      <c r="K740" s="7">
        <v>496.97</v>
      </c>
      <c r="L740" s="7">
        <v>1355.62</v>
      </c>
      <c r="M740" s="7">
        <v>0</v>
      </c>
      <c r="N740" s="7">
        <f t="shared" si="742"/>
        <v>1355.62</v>
      </c>
      <c r="O740" s="7">
        <v>1355.62</v>
      </c>
      <c r="P740" s="1">
        <f>O740-N740</f>
        <v>0</v>
      </c>
      <c r="Q740" s="1">
        <f t="shared" si="743"/>
        <v>1355.62</v>
      </c>
      <c r="R740" s="1">
        <v>1434.55</v>
      </c>
      <c r="S740" s="1">
        <f>R740-Q740</f>
        <v>78.930000000000064</v>
      </c>
      <c r="T740" s="1">
        <f t="shared" si="744"/>
        <v>1434.55</v>
      </c>
      <c r="U740" s="1">
        <v>1723.96</v>
      </c>
      <c r="V740" s="1">
        <f t="shared" si="745"/>
        <v>289.41000000000008</v>
      </c>
      <c r="W740" s="1">
        <f t="shared" si="746"/>
        <v>1723.96</v>
      </c>
      <c r="X740" s="1">
        <v>1741.2</v>
      </c>
      <c r="Y740" s="41">
        <f t="shared" si="737"/>
        <v>17.240000000000009</v>
      </c>
      <c r="Z740" s="1">
        <f t="shared" si="747"/>
        <v>1741.2</v>
      </c>
      <c r="AA740" s="1">
        <v>1839.55</v>
      </c>
      <c r="AB740" s="1">
        <f t="shared" si="736"/>
        <v>98.349999999999909</v>
      </c>
      <c r="AC740" s="1">
        <f t="shared" si="748"/>
        <v>1839.55</v>
      </c>
      <c r="AD740" s="41">
        <v>2167.31</v>
      </c>
      <c r="AE740" s="1">
        <f t="shared" si="749"/>
        <v>327.76</v>
      </c>
      <c r="AF740" s="1">
        <f t="shared" si="750"/>
        <v>2167.31</v>
      </c>
    </row>
    <row r="741" spans="1:32" outlineLevel="2">
      <c r="A741" s="11">
        <v>91210</v>
      </c>
      <c r="B741" s="11">
        <v>12100</v>
      </c>
      <c r="C741" s="42" t="s">
        <v>764</v>
      </c>
      <c r="D741" s="7">
        <v>11374.26</v>
      </c>
      <c r="E741" s="7">
        <v>4986.49</v>
      </c>
      <c r="F741" s="7">
        <f>D741-E741</f>
        <v>6387.77</v>
      </c>
      <c r="G741" s="7">
        <v>-6387.77</v>
      </c>
      <c r="H741" s="7">
        <f>D741+G741</f>
        <v>4986.49</v>
      </c>
      <c r="I741" s="7">
        <v>5527.06</v>
      </c>
      <c r="J741" s="7">
        <f t="shared" si="753"/>
        <v>-540.57000000000062</v>
      </c>
      <c r="K741" s="7">
        <v>540.57000000000005</v>
      </c>
      <c r="L741" s="7">
        <v>5527.06</v>
      </c>
      <c r="M741" s="7">
        <v>0</v>
      </c>
      <c r="N741" s="7">
        <f t="shared" si="742"/>
        <v>5527.06</v>
      </c>
      <c r="O741" s="7">
        <v>5527.06</v>
      </c>
      <c r="P741" s="1">
        <f>O741-N741</f>
        <v>0</v>
      </c>
      <c r="Q741" s="1">
        <f t="shared" si="743"/>
        <v>5527.06</v>
      </c>
      <c r="R741" s="1">
        <v>5527.06</v>
      </c>
      <c r="S741" s="1">
        <f>R741-Q741</f>
        <v>0</v>
      </c>
      <c r="T741" s="1">
        <f t="shared" si="744"/>
        <v>5527.06</v>
      </c>
      <c r="U741" s="1">
        <v>5527.06</v>
      </c>
      <c r="V741" s="1">
        <f t="shared" si="745"/>
        <v>0</v>
      </c>
      <c r="W741" s="1">
        <f t="shared" si="746"/>
        <v>5527.06</v>
      </c>
      <c r="X741" s="1">
        <v>5582.33</v>
      </c>
      <c r="Y741" s="41">
        <f t="shared" si="737"/>
        <v>55.269999999999527</v>
      </c>
      <c r="Z741" s="1">
        <f t="shared" si="747"/>
        <v>5582.33</v>
      </c>
      <c r="AA741" s="1">
        <v>5638.18</v>
      </c>
      <c r="AB741" s="1">
        <f t="shared" si="736"/>
        <v>55.850000000000364</v>
      </c>
      <c r="AC741" s="1">
        <f t="shared" si="748"/>
        <v>5638.18</v>
      </c>
      <c r="AD741" s="41">
        <v>5722.79</v>
      </c>
      <c r="AE741" s="1">
        <f t="shared" si="749"/>
        <v>84.609999999999673</v>
      </c>
      <c r="AF741" s="1">
        <f t="shared" si="750"/>
        <v>5722.79</v>
      </c>
    </row>
    <row r="742" spans="1:32" outlineLevel="2">
      <c r="A742" s="11">
        <v>91210</v>
      </c>
      <c r="B742" s="11">
        <v>12101</v>
      </c>
      <c r="C742" s="42" t="s">
        <v>765</v>
      </c>
      <c r="D742" s="7">
        <v>0</v>
      </c>
      <c r="E742" s="7">
        <v>6421.9</v>
      </c>
      <c r="F742" s="7">
        <f>D742-E742</f>
        <v>-6421.9</v>
      </c>
      <c r="G742" s="7">
        <v>6421.9</v>
      </c>
      <c r="H742" s="7">
        <f>D742+G742</f>
        <v>6421.9</v>
      </c>
      <c r="I742" s="7">
        <v>7118.02</v>
      </c>
      <c r="J742" s="7">
        <f t="shared" si="753"/>
        <v>-696.1200000000008</v>
      </c>
      <c r="K742" s="7">
        <v>696.12</v>
      </c>
      <c r="L742" s="7">
        <v>7118.02</v>
      </c>
      <c r="M742" s="7">
        <v>0</v>
      </c>
      <c r="N742" s="7">
        <f t="shared" si="742"/>
        <v>7118.02</v>
      </c>
      <c r="O742" s="7">
        <v>7118.02</v>
      </c>
      <c r="P742" s="1">
        <f>O742-N742</f>
        <v>0</v>
      </c>
      <c r="Q742" s="1">
        <f t="shared" si="743"/>
        <v>7118.02</v>
      </c>
      <c r="R742" s="1">
        <v>7118.02</v>
      </c>
      <c r="S742" s="1">
        <f>R742-Q742</f>
        <v>0</v>
      </c>
      <c r="T742" s="1">
        <f t="shared" si="744"/>
        <v>7118.02</v>
      </c>
      <c r="U742" s="1">
        <v>7118.02</v>
      </c>
      <c r="V742" s="1">
        <f t="shared" si="745"/>
        <v>0</v>
      </c>
      <c r="W742" s="1">
        <f t="shared" si="746"/>
        <v>7118.02</v>
      </c>
      <c r="X742" s="1">
        <v>7189.2</v>
      </c>
      <c r="Y742" s="41">
        <f t="shared" si="737"/>
        <v>71.179999999999382</v>
      </c>
      <c r="Z742" s="1">
        <f t="shared" si="747"/>
        <v>7189.2</v>
      </c>
      <c r="AA742" s="1">
        <v>7261.03</v>
      </c>
      <c r="AB742" s="1">
        <f t="shared" si="736"/>
        <v>71.829999999999927</v>
      </c>
      <c r="AC742" s="1">
        <f t="shared" si="748"/>
        <v>7261.03</v>
      </c>
      <c r="AD742" s="41">
        <v>7370.02</v>
      </c>
      <c r="AE742" s="1">
        <f t="shared" si="749"/>
        <v>108.99000000000069</v>
      </c>
      <c r="AF742" s="1">
        <f t="shared" si="750"/>
        <v>7370.02</v>
      </c>
    </row>
    <row r="743" spans="1:32" outlineLevel="2">
      <c r="A743" s="11">
        <v>91210</v>
      </c>
      <c r="B743" s="19">
        <v>15100</v>
      </c>
      <c r="C743" s="19" t="s">
        <v>388</v>
      </c>
      <c r="D743" s="20">
        <v>100</v>
      </c>
      <c r="E743" s="20"/>
      <c r="F743" s="20">
        <f t="shared" ref="F743:F749" si="754">D743-E743</f>
        <v>100</v>
      </c>
      <c r="G743" s="20"/>
      <c r="H743" s="20">
        <f t="shared" ref="H743:H749" si="755">D743+G743</f>
        <v>100</v>
      </c>
      <c r="I743" s="20">
        <v>100</v>
      </c>
      <c r="J743" s="20">
        <f t="shared" si="753"/>
        <v>0</v>
      </c>
      <c r="K743" s="20">
        <v>0</v>
      </c>
      <c r="L743" s="7">
        <v>100</v>
      </c>
      <c r="M743" s="7">
        <v>0</v>
      </c>
      <c r="N743" s="7">
        <f t="shared" si="742"/>
        <v>100</v>
      </c>
      <c r="O743" s="7"/>
      <c r="P743" s="1">
        <f>O743-N743</f>
        <v>-100</v>
      </c>
      <c r="Q743" s="1">
        <f t="shared" si="743"/>
        <v>0</v>
      </c>
      <c r="S743" s="1">
        <f>R743-Q743</f>
        <v>0</v>
      </c>
      <c r="T743" s="1">
        <f t="shared" si="744"/>
        <v>0</v>
      </c>
      <c r="V743" s="1">
        <f t="shared" si="745"/>
        <v>0</v>
      </c>
      <c r="W743" s="1">
        <f t="shared" si="746"/>
        <v>0</v>
      </c>
      <c r="X743" s="1">
        <v>0</v>
      </c>
      <c r="Y743" s="41">
        <f t="shared" si="737"/>
        <v>0</v>
      </c>
      <c r="Z743" s="1">
        <f t="shared" si="747"/>
        <v>0</v>
      </c>
      <c r="AA743" s="1">
        <v>200</v>
      </c>
      <c r="AB743" s="1">
        <f t="shared" si="736"/>
        <v>200</v>
      </c>
      <c r="AC743" s="1">
        <f t="shared" si="748"/>
        <v>200</v>
      </c>
      <c r="AD743" s="41">
        <v>200</v>
      </c>
      <c r="AE743" s="1">
        <f t="shared" si="749"/>
        <v>0</v>
      </c>
      <c r="AF743" s="1">
        <f t="shared" si="750"/>
        <v>200</v>
      </c>
    </row>
    <row r="744" spans="1:32" outlineLevel="2">
      <c r="A744" s="11">
        <v>91200</v>
      </c>
      <c r="B744" s="59">
        <v>16000</v>
      </c>
      <c r="C744" s="55" t="s">
        <v>763</v>
      </c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>
        <v>0</v>
      </c>
      <c r="U744" s="53"/>
      <c r="V744" s="53">
        <f t="shared" ref="V744" si="756">U744-T744</f>
        <v>0</v>
      </c>
      <c r="W744" s="53">
        <f t="shared" ref="W744" si="757">T744+V744</f>
        <v>0</v>
      </c>
      <c r="X744" s="1">
        <v>0</v>
      </c>
      <c r="Y744" s="41">
        <f t="shared" si="737"/>
        <v>0</v>
      </c>
      <c r="Z744" s="1">
        <f t="shared" si="747"/>
        <v>0</v>
      </c>
      <c r="AA744" s="1">
        <v>0</v>
      </c>
      <c r="AB744" s="1">
        <f t="shared" si="736"/>
        <v>0</v>
      </c>
      <c r="AC744" s="1">
        <f t="shared" si="748"/>
        <v>0</v>
      </c>
      <c r="AD744" s="41">
        <v>7827</v>
      </c>
      <c r="AE744" s="1">
        <f t="shared" si="749"/>
        <v>7827</v>
      </c>
      <c r="AF744" s="1">
        <f t="shared" si="750"/>
        <v>7827</v>
      </c>
    </row>
    <row r="745" spans="1:32" outlineLevel="2">
      <c r="A745" s="11">
        <v>91210</v>
      </c>
      <c r="B745" s="11">
        <v>22000</v>
      </c>
      <c r="C745" s="11" t="s">
        <v>530</v>
      </c>
      <c r="D745" s="7">
        <v>160</v>
      </c>
      <c r="E745" s="7"/>
      <c r="F745" s="7">
        <f t="shared" si="754"/>
        <v>160</v>
      </c>
      <c r="G745" s="7"/>
      <c r="H745" s="7">
        <f t="shared" si="755"/>
        <v>160</v>
      </c>
      <c r="I745" s="7"/>
      <c r="J745" s="7">
        <f t="shared" si="753"/>
        <v>160</v>
      </c>
      <c r="K745" s="7"/>
      <c r="L745" s="7">
        <v>160</v>
      </c>
      <c r="M745" s="7">
        <v>0</v>
      </c>
      <c r="N745" s="7">
        <f t="shared" si="742"/>
        <v>160</v>
      </c>
      <c r="O745" s="7"/>
      <c r="Q745" s="1">
        <f t="shared" si="743"/>
        <v>160</v>
      </c>
      <c r="T745" s="1">
        <f t="shared" si="744"/>
        <v>160</v>
      </c>
      <c r="U745" s="1">
        <f t="shared" si="744"/>
        <v>160</v>
      </c>
      <c r="V745" s="1">
        <f t="shared" si="745"/>
        <v>0</v>
      </c>
      <c r="W745" s="1">
        <f t="shared" si="746"/>
        <v>160</v>
      </c>
      <c r="X745" s="1">
        <v>100</v>
      </c>
      <c r="Y745" s="41">
        <f t="shared" si="737"/>
        <v>-60</v>
      </c>
      <c r="Z745" s="1">
        <f t="shared" si="747"/>
        <v>100</v>
      </c>
      <c r="AA745" s="1">
        <v>100</v>
      </c>
      <c r="AB745" s="1">
        <f t="shared" si="736"/>
        <v>0</v>
      </c>
      <c r="AC745" s="1">
        <f t="shared" si="748"/>
        <v>100</v>
      </c>
      <c r="AD745" s="41">
        <v>100</v>
      </c>
      <c r="AE745" s="1">
        <f t="shared" si="749"/>
        <v>0</v>
      </c>
      <c r="AF745" s="1">
        <f t="shared" si="750"/>
        <v>100</v>
      </c>
    </row>
    <row r="746" spans="1:32" outlineLevel="2">
      <c r="A746" s="11">
        <v>91210</v>
      </c>
      <c r="B746" s="11">
        <v>22602</v>
      </c>
      <c r="C746" s="11" t="s">
        <v>531</v>
      </c>
      <c r="D746" s="7">
        <v>2400</v>
      </c>
      <c r="E746" s="7"/>
      <c r="F746" s="7">
        <f t="shared" si="754"/>
        <v>2400</v>
      </c>
      <c r="G746" s="7"/>
      <c r="H746" s="7">
        <f t="shared" si="755"/>
        <v>2400</v>
      </c>
      <c r="I746" s="7"/>
      <c r="J746" s="7">
        <f t="shared" si="753"/>
        <v>2400</v>
      </c>
      <c r="K746" s="7"/>
      <c r="L746" s="7">
        <v>2400</v>
      </c>
      <c r="M746" s="7">
        <f>1500-L746</f>
        <v>-900</v>
      </c>
      <c r="N746" s="7">
        <f t="shared" si="742"/>
        <v>1500</v>
      </c>
      <c r="O746" s="7"/>
      <c r="Q746" s="1">
        <f t="shared" si="743"/>
        <v>1500</v>
      </c>
      <c r="T746" s="1">
        <f t="shared" si="744"/>
        <v>1500</v>
      </c>
      <c r="U746" s="1">
        <f t="shared" si="744"/>
        <v>1500</v>
      </c>
      <c r="V746" s="1">
        <f t="shared" si="745"/>
        <v>0</v>
      </c>
      <c r="W746" s="1">
        <f t="shared" si="746"/>
        <v>1500</v>
      </c>
      <c r="X746" s="1">
        <v>0</v>
      </c>
      <c r="Y746" s="41">
        <f t="shared" si="737"/>
        <v>-1500</v>
      </c>
      <c r="Z746" s="1">
        <f t="shared" si="747"/>
        <v>0</v>
      </c>
      <c r="AA746" s="1">
        <v>0</v>
      </c>
      <c r="AB746" s="1">
        <f t="shared" si="736"/>
        <v>0</v>
      </c>
      <c r="AC746" s="1">
        <f t="shared" si="748"/>
        <v>0</v>
      </c>
      <c r="AD746" s="41">
        <v>0</v>
      </c>
      <c r="AE746" s="1">
        <f t="shared" si="749"/>
        <v>0</v>
      </c>
      <c r="AF746" s="1">
        <f t="shared" si="750"/>
        <v>0</v>
      </c>
    </row>
    <row r="747" spans="1:32" outlineLevel="2">
      <c r="A747" s="11">
        <v>91210</v>
      </c>
      <c r="B747" s="11">
        <v>22606</v>
      </c>
      <c r="C747" s="11" t="s">
        <v>297</v>
      </c>
      <c r="D747" s="7">
        <v>7200</v>
      </c>
      <c r="E747" s="7"/>
      <c r="F747" s="7">
        <f t="shared" si="754"/>
        <v>7200</v>
      </c>
      <c r="G747" s="7"/>
      <c r="H747" s="7">
        <f t="shared" si="755"/>
        <v>7200</v>
      </c>
      <c r="I747" s="7"/>
      <c r="J747" s="7">
        <f t="shared" si="753"/>
        <v>7200</v>
      </c>
      <c r="K747" s="7"/>
      <c r="L747" s="7">
        <v>7200</v>
      </c>
      <c r="M747" s="7">
        <f>5000-L747</f>
        <v>-2200</v>
      </c>
      <c r="N747" s="7">
        <f t="shared" si="742"/>
        <v>5000</v>
      </c>
      <c r="O747" s="7"/>
      <c r="Q747" s="1">
        <f t="shared" si="743"/>
        <v>5000</v>
      </c>
      <c r="T747" s="1">
        <f t="shared" si="744"/>
        <v>5000</v>
      </c>
      <c r="U747" s="1">
        <f t="shared" si="744"/>
        <v>5000</v>
      </c>
      <c r="V747" s="1">
        <f t="shared" si="745"/>
        <v>0</v>
      </c>
      <c r="W747" s="1">
        <f t="shared" si="746"/>
        <v>5000</v>
      </c>
      <c r="X747" s="1">
        <v>2000</v>
      </c>
      <c r="Y747" s="41">
        <f t="shared" si="737"/>
        <v>-3000</v>
      </c>
      <c r="Z747" s="1">
        <f t="shared" si="747"/>
        <v>2000</v>
      </c>
      <c r="AA747" s="1">
        <v>2000</v>
      </c>
      <c r="AB747" s="1">
        <f t="shared" si="736"/>
        <v>0</v>
      </c>
      <c r="AC747" s="1">
        <f t="shared" si="748"/>
        <v>2000</v>
      </c>
      <c r="AD747" s="41">
        <v>2000</v>
      </c>
      <c r="AE747" s="1">
        <f t="shared" si="749"/>
        <v>0</v>
      </c>
      <c r="AF747" s="1">
        <f t="shared" si="750"/>
        <v>2000</v>
      </c>
    </row>
    <row r="748" spans="1:32" outlineLevel="2">
      <c r="A748" s="11">
        <v>91210</v>
      </c>
      <c r="B748" s="11">
        <v>22609</v>
      </c>
      <c r="C748" s="11" t="s">
        <v>532</v>
      </c>
      <c r="D748" s="7">
        <v>6400</v>
      </c>
      <c r="E748" s="7"/>
      <c r="F748" s="7">
        <f t="shared" si="754"/>
        <v>6400</v>
      </c>
      <c r="G748" s="7"/>
      <c r="H748" s="7">
        <f t="shared" si="755"/>
        <v>6400</v>
      </c>
      <c r="I748" s="7"/>
      <c r="J748" s="7">
        <f t="shared" si="753"/>
        <v>6400</v>
      </c>
      <c r="K748" s="7"/>
      <c r="L748" s="7">
        <v>6400</v>
      </c>
      <c r="M748" s="7">
        <f>5000-L748</f>
        <v>-1400</v>
      </c>
      <c r="N748" s="7">
        <f t="shared" si="742"/>
        <v>5000</v>
      </c>
      <c r="O748" s="7"/>
      <c r="Q748" s="1">
        <f t="shared" si="743"/>
        <v>5000</v>
      </c>
      <c r="S748" s="1">
        <v>-5000</v>
      </c>
      <c r="T748" s="1">
        <f t="shared" si="744"/>
        <v>0</v>
      </c>
      <c r="U748" s="1">
        <f t="shared" si="744"/>
        <v>0</v>
      </c>
      <c r="V748" s="1">
        <f t="shared" si="745"/>
        <v>0</v>
      </c>
      <c r="W748" s="1">
        <f t="shared" si="746"/>
        <v>0</v>
      </c>
      <c r="X748" s="1">
        <v>0</v>
      </c>
      <c r="Y748" s="41">
        <f t="shared" si="737"/>
        <v>0</v>
      </c>
      <c r="Z748" s="1">
        <f t="shared" si="747"/>
        <v>0</v>
      </c>
      <c r="AA748" s="1">
        <v>0</v>
      </c>
      <c r="AB748" s="1">
        <f t="shared" si="736"/>
        <v>0</v>
      </c>
      <c r="AC748" s="1">
        <f t="shared" si="748"/>
        <v>0</v>
      </c>
      <c r="AD748" s="41">
        <v>0</v>
      </c>
      <c r="AE748" s="1">
        <f t="shared" si="749"/>
        <v>0</v>
      </c>
      <c r="AF748" s="1">
        <f t="shared" si="750"/>
        <v>0</v>
      </c>
    </row>
    <row r="749" spans="1:32" outlineLevel="2">
      <c r="A749" s="11">
        <v>91210</v>
      </c>
      <c r="B749" s="11">
        <v>22699</v>
      </c>
      <c r="C749" s="42" t="s">
        <v>711</v>
      </c>
      <c r="D749" s="7">
        <v>20000</v>
      </c>
      <c r="E749" s="7"/>
      <c r="F749" s="7">
        <f t="shared" si="754"/>
        <v>20000</v>
      </c>
      <c r="G749" s="7">
        <v>-3000</v>
      </c>
      <c r="H749" s="7">
        <f t="shared" si="755"/>
        <v>17000</v>
      </c>
      <c r="I749" s="8"/>
      <c r="J749" s="7">
        <f t="shared" si="753"/>
        <v>17000</v>
      </c>
      <c r="K749" s="8"/>
      <c r="L749" s="7">
        <v>17000</v>
      </c>
      <c r="M749" s="7">
        <v>-7000</v>
      </c>
      <c r="N749" s="7">
        <f t="shared" si="742"/>
        <v>10000</v>
      </c>
      <c r="O749" s="7"/>
      <c r="Q749" s="1">
        <f t="shared" si="743"/>
        <v>10000</v>
      </c>
      <c r="S749" s="1">
        <v>5000</v>
      </c>
      <c r="T749" s="1">
        <f t="shared" si="744"/>
        <v>15000</v>
      </c>
      <c r="U749" s="1">
        <f t="shared" si="744"/>
        <v>15000</v>
      </c>
      <c r="V749" s="1">
        <f t="shared" si="745"/>
        <v>0</v>
      </c>
      <c r="W749" s="1">
        <f t="shared" si="746"/>
        <v>15000</v>
      </c>
      <c r="X749" s="1">
        <v>10000</v>
      </c>
      <c r="Y749" s="41">
        <f t="shared" si="737"/>
        <v>-5000</v>
      </c>
      <c r="Z749" s="1">
        <f t="shared" si="747"/>
        <v>10000</v>
      </c>
      <c r="AA749" s="1">
        <v>10000</v>
      </c>
      <c r="AB749" s="1">
        <f t="shared" si="736"/>
        <v>0</v>
      </c>
      <c r="AC749" s="1">
        <f t="shared" si="748"/>
        <v>10000</v>
      </c>
      <c r="AD749" s="41">
        <v>5000</v>
      </c>
      <c r="AE749" s="1">
        <f t="shared" si="749"/>
        <v>-5000</v>
      </c>
      <c r="AF749" s="1">
        <f t="shared" si="750"/>
        <v>5000</v>
      </c>
    </row>
    <row r="750" spans="1:32" outlineLevel="2">
      <c r="A750" s="9" t="s">
        <v>23</v>
      </c>
      <c r="B750" s="9"/>
      <c r="C750" s="9" t="s">
        <v>49</v>
      </c>
      <c r="D750" s="8">
        <f>SUBTOTAL(9,D722:D737)</f>
        <v>529330.68999999994</v>
      </c>
      <c r="E750" s="8">
        <f>SUBTOTAL(9,E722:E737)</f>
        <v>69830.05</v>
      </c>
      <c r="F750" s="8">
        <f>SUBTOTAL(9,F722:F737)</f>
        <v>459500.64</v>
      </c>
      <c r="G750" s="8">
        <f>SUBTOTAL(9,G722:G737)</f>
        <v>-86118.23000000001</v>
      </c>
      <c r="H750" s="8">
        <f>SUBTOTAL(9,H722:H738)</f>
        <v>443212.45999999996</v>
      </c>
      <c r="I750" s="8">
        <f>SUBTOTAL(9,I722:I738)</f>
        <v>1276921.68</v>
      </c>
      <c r="J750" s="8">
        <f>SUBTOTAL(9,J722:J738)</f>
        <v>-833709.22</v>
      </c>
      <c r="K750" s="8">
        <f>SUBTOTAL(9,K722:K738)</f>
        <v>1207091.6299999999</v>
      </c>
      <c r="L750" s="8">
        <f t="shared" ref="L750:AF750" si="758">SUBTOTAL(9,L722:L749)</f>
        <v>1707449.6300000001</v>
      </c>
      <c r="M750" s="8">
        <f t="shared" si="758"/>
        <v>-1106828.6599999999</v>
      </c>
      <c r="N750" s="8">
        <f t="shared" si="758"/>
        <v>600620.97</v>
      </c>
      <c r="O750" s="8">
        <f t="shared" si="758"/>
        <v>205478.55999999997</v>
      </c>
      <c r="P750" s="8">
        <f t="shared" si="758"/>
        <v>-100</v>
      </c>
      <c r="Q750" s="8">
        <f t="shared" si="758"/>
        <v>600520.97</v>
      </c>
      <c r="S750" s="8">
        <f t="shared" si="758"/>
        <v>78.930000000000291</v>
      </c>
      <c r="T750" s="8">
        <f t="shared" si="758"/>
        <v>600599.9</v>
      </c>
      <c r="U750" s="8">
        <f t="shared" si="758"/>
        <v>618728.50000000012</v>
      </c>
      <c r="V750" s="8">
        <f t="shared" si="758"/>
        <v>18128.600000000024</v>
      </c>
      <c r="W750" s="8">
        <f t="shared" si="758"/>
        <v>618728.50000000012</v>
      </c>
      <c r="X750" s="8">
        <f t="shared" si="758"/>
        <v>734486.33999999985</v>
      </c>
      <c r="Y750" s="8">
        <f t="shared" si="758"/>
        <v>115757.83999999997</v>
      </c>
      <c r="Z750" s="8">
        <f t="shared" si="758"/>
        <v>734486.33999999985</v>
      </c>
      <c r="AA750" s="8">
        <f t="shared" si="758"/>
        <v>739341.34000000008</v>
      </c>
      <c r="AB750" s="8">
        <f t="shared" si="758"/>
        <v>4854.9999999999964</v>
      </c>
      <c r="AC750" s="8">
        <f t="shared" si="758"/>
        <v>739341.34000000008</v>
      </c>
      <c r="AD750" s="8">
        <f t="shared" si="758"/>
        <v>792713.02000000014</v>
      </c>
      <c r="AE750" s="8">
        <f t="shared" si="758"/>
        <v>53371.68</v>
      </c>
      <c r="AF750" s="8">
        <f t="shared" si="758"/>
        <v>792713.02000000014</v>
      </c>
    </row>
    <row r="751" spans="1:32" outlineLevel="2">
      <c r="A751" s="11">
        <v>92000</v>
      </c>
      <c r="B751" s="11">
        <v>11000</v>
      </c>
      <c r="C751" s="11" t="s">
        <v>190</v>
      </c>
      <c r="D751" s="7">
        <v>303961.81</v>
      </c>
      <c r="E751" s="7">
        <v>149082.89000000001</v>
      </c>
      <c r="F751" s="7">
        <f t="shared" ref="F751:F798" si="759">D751-E751</f>
        <v>154878.91999999998</v>
      </c>
      <c r="G751" s="7">
        <v>-154878.92000000001</v>
      </c>
      <c r="H751" s="7">
        <f t="shared" ref="H751:H819" si="760">D751+G751</f>
        <v>149082.88999999998</v>
      </c>
      <c r="I751" s="1">
        <v>176207.06</v>
      </c>
      <c r="J751" s="1">
        <f t="shared" si="725"/>
        <v>-27124.170000000013</v>
      </c>
      <c r="K751" s="1">
        <v>27124.17</v>
      </c>
      <c r="L751" s="1">
        <f t="shared" ref="L751:L798" si="761">H751+K751</f>
        <v>176207.06</v>
      </c>
      <c r="M751" s="7">
        <f>154789.58-L751</f>
        <v>-21417.48000000001</v>
      </c>
      <c r="N751" s="1">
        <f t="shared" ref="N751:N825" si="762">L751+M751</f>
        <v>154789.57999999999</v>
      </c>
      <c r="O751" s="1">
        <v>149749.4</v>
      </c>
      <c r="P751" s="1">
        <f t="shared" ref="P751:P767" si="763">O751-N751</f>
        <v>-5040.179999999993</v>
      </c>
      <c r="Q751" s="1">
        <f t="shared" ref="Q751:Q775" si="764">N751+P751</f>
        <v>149749.4</v>
      </c>
      <c r="R751" s="1">
        <v>217087.86</v>
      </c>
      <c r="S751" s="1">
        <f t="shared" ref="S751:S767" si="765">R751-Q751</f>
        <v>67338.459999999992</v>
      </c>
      <c r="T751" s="1">
        <f t="shared" ref="T751:U812" si="766">Q751+S751</f>
        <v>217087.86</v>
      </c>
      <c r="U751" s="1">
        <v>176291.09</v>
      </c>
      <c r="V751" s="1">
        <f t="shared" ref="V751:V813" si="767">U751-T751</f>
        <v>-40796.76999999999</v>
      </c>
      <c r="W751" s="1">
        <f t="shared" ref="W751:W813" si="768">T751+V751</f>
        <v>176291.09</v>
      </c>
      <c r="X751" s="1">
        <v>101424.88</v>
      </c>
      <c r="Y751" s="41">
        <f t="shared" si="737"/>
        <v>-74866.209999999992</v>
      </c>
      <c r="Z751" s="1">
        <f t="shared" ref="Z751:Z776" si="769">W751+Y751</f>
        <v>101424.88</v>
      </c>
      <c r="AA751" s="1">
        <v>102439.69</v>
      </c>
      <c r="AB751" s="1">
        <f>AA751-Z751</f>
        <v>1014.8099999999977</v>
      </c>
      <c r="AC751" s="1">
        <f t="shared" ref="AC751:AC812" si="770">Z751+AB751</f>
        <v>102439.69</v>
      </c>
      <c r="AD751" s="41">
        <v>87661.34</v>
      </c>
      <c r="AE751" s="1">
        <f t="shared" ref="AE751:AE809" si="771">AD751-AC751</f>
        <v>-14778.350000000006</v>
      </c>
      <c r="AF751" s="1">
        <f t="shared" ref="AF751:AF809" si="772">AC751+AE751</f>
        <v>87661.34</v>
      </c>
    </row>
    <row r="752" spans="1:32" outlineLevel="2">
      <c r="A752" s="11">
        <v>92000</v>
      </c>
      <c r="B752" s="11">
        <v>11001</v>
      </c>
      <c r="C752" s="42" t="s">
        <v>762</v>
      </c>
      <c r="D752" s="7">
        <v>0</v>
      </c>
      <c r="E752" s="7">
        <v>156234.48000000001</v>
      </c>
      <c r="F752" s="7">
        <f t="shared" si="759"/>
        <v>-156234.48000000001</v>
      </c>
      <c r="G752" s="7">
        <v>156234.48000000001</v>
      </c>
      <c r="H752" s="7">
        <f t="shared" si="760"/>
        <v>156234.48000000001</v>
      </c>
      <c r="I752" s="1">
        <v>119244.86</v>
      </c>
      <c r="J752" s="1">
        <f t="shared" si="725"/>
        <v>36989.62000000001</v>
      </c>
      <c r="K752" s="1">
        <v>-36989.620000000003</v>
      </c>
      <c r="L752" s="1">
        <f t="shared" si="761"/>
        <v>119244.86000000002</v>
      </c>
      <c r="M752" s="7">
        <f>86011.52-L752</f>
        <v>-33233.340000000011</v>
      </c>
      <c r="N752" s="1">
        <f t="shared" si="762"/>
        <v>86011.520000000004</v>
      </c>
      <c r="O752" s="1">
        <v>79688.98</v>
      </c>
      <c r="P752" s="1">
        <f t="shared" si="763"/>
        <v>-6322.5400000000081</v>
      </c>
      <c r="Q752" s="1">
        <f t="shared" si="764"/>
        <v>79688.98</v>
      </c>
      <c r="S752" s="1">
        <f t="shared" si="765"/>
        <v>-79688.98</v>
      </c>
      <c r="T752" s="1">
        <f t="shared" si="766"/>
        <v>0</v>
      </c>
      <c r="V752" s="1">
        <f t="shared" si="767"/>
        <v>0</v>
      </c>
      <c r="W752" s="1">
        <f t="shared" si="768"/>
        <v>0</v>
      </c>
      <c r="X752" s="1">
        <v>76629.36</v>
      </c>
      <c r="Y752" s="41">
        <f t="shared" si="737"/>
        <v>76629.36</v>
      </c>
      <c r="Z752" s="1">
        <f t="shared" si="769"/>
        <v>76629.36</v>
      </c>
      <c r="AA752" s="1">
        <v>77395.38</v>
      </c>
      <c r="AB752" s="1">
        <f t="shared" ref="AB752:AB813" si="773">AA752-Z752</f>
        <v>766.02000000000407</v>
      </c>
      <c r="AC752" s="1">
        <f t="shared" si="770"/>
        <v>77395.38</v>
      </c>
      <c r="AD752" s="41">
        <v>65464.03</v>
      </c>
      <c r="AE752" s="1">
        <f t="shared" si="771"/>
        <v>-11931.350000000006</v>
      </c>
      <c r="AF752" s="1">
        <f t="shared" si="772"/>
        <v>65464.03</v>
      </c>
    </row>
    <row r="753" spans="1:32" outlineLevel="2">
      <c r="A753" s="11">
        <v>92000</v>
      </c>
      <c r="B753" s="11">
        <v>12000</v>
      </c>
      <c r="C753" s="11" t="s">
        <v>191</v>
      </c>
      <c r="D753" s="7">
        <v>351780.12</v>
      </c>
      <c r="E753" s="7">
        <v>125561.82</v>
      </c>
      <c r="F753" s="7">
        <f t="shared" si="759"/>
        <v>226218.3</v>
      </c>
      <c r="G753" s="7">
        <v>-226218.3</v>
      </c>
      <c r="H753" s="7">
        <f t="shared" si="760"/>
        <v>125561.82</v>
      </c>
      <c r="I753" s="1">
        <v>44031.96</v>
      </c>
      <c r="J753" s="1">
        <f t="shared" si="725"/>
        <v>81529.860000000015</v>
      </c>
      <c r="K753" s="1">
        <v>-81529.86</v>
      </c>
      <c r="L753" s="1">
        <f t="shared" si="761"/>
        <v>44031.960000000006</v>
      </c>
      <c r="M753" s="7">
        <v>0</v>
      </c>
      <c r="N753" s="1">
        <f t="shared" si="762"/>
        <v>44031.960000000006</v>
      </c>
      <c r="O753" s="1">
        <v>44031.96</v>
      </c>
      <c r="P753" s="1">
        <f t="shared" si="763"/>
        <v>0</v>
      </c>
      <c r="Q753" s="1">
        <f t="shared" si="764"/>
        <v>44031.960000000006</v>
      </c>
      <c r="R753" s="1">
        <v>44031.96</v>
      </c>
      <c r="S753" s="1">
        <f t="shared" si="765"/>
        <v>0</v>
      </c>
      <c r="T753" s="1">
        <f t="shared" si="766"/>
        <v>44031.960000000006</v>
      </c>
      <c r="U753" s="1">
        <v>58709.279999999999</v>
      </c>
      <c r="V753" s="1">
        <f t="shared" si="767"/>
        <v>14677.319999999992</v>
      </c>
      <c r="W753" s="1">
        <f t="shared" si="768"/>
        <v>58709.279999999999</v>
      </c>
      <c r="X753" s="1">
        <v>64305.57</v>
      </c>
      <c r="Y753" s="41">
        <f t="shared" si="737"/>
        <v>5596.2900000000009</v>
      </c>
      <c r="Z753" s="1">
        <f t="shared" si="769"/>
        <v>64305.57</v>
      </c>
      <c r="AA753" s="1">
        <v>48199.75</v>
      </c>
      <c r="AB753" s="1">
        <f t="shared" si="773"/>
        <v>-16105.82</v>
      </c>
      <c r="AC753" s="1">
        <f t="shared" si="770"/>
        <v>48199.75</v>
      </c>
      <c r="AD753" s="41">
        <v>47487.199999999997</v>
      </c>
      <c r="AE753" s="1">
        <f t="shared" si="771"/>
        <v>-712.55000000000291</v>
      </c>
      <c r="AF753" s="1">
        <f t="shared" si="772"/>
        <v>47487.199999999997</v>
      </c>
    </row>
    <row r="754" spans="1:32" outlineLevel="2">
      <c r="A754" s="11">
        <v>92000</v>
      </c>
      <c r="B754" s="11">
        <v>12001</v>
      </c>
      <c r="C754" s="11" t="s">
        <v>192</v>
      </c>
      <c r="D754" s="7">
        <v>0</v>
      </c>
      <c r="E754" s="7">
        <v>49440.54</v>
      </c>
      <c r="F754" s="7">
        <f t="shared" si="759"/>
        <v>-49440.54</v>
      </c>
      <c r="G754" s="7">
        <v>49440.54</v>
      </c>
      <c r="H754" s="7">
        <f t="shared" si="760"/>
        <v>49440.54</v>
      </c>
      <c r="I754" s="1">
        <v>38719.56</v>
      </c>
      <c r="J754" s="1">
        <f t="shared" si="725"/>
        <v>10720.980000000003</v>
      </c>
      <c r="K754" s="1">
        <v>-10720.98</v>
      </c>
      <c r="L754" s="1">
        <f t="shared" si="761"/>
        <v>38719.56</v>
      </c>
      <c r="M754" s="7">
        <f>25813.04-L754</f>
        <v>-12906.519999999997</v>
      </c>
      <c r="N754" s="1">
        <f t="shared" si="762"/>
        <v>25813.040000000001</v>
      </c>
      <c r="O754" s="1">
        <v>25813.040000000001</v>
      </c>
      <c r="P754" s="1">
        <f t="shared" si="763"/>
        <v>0</v>
      </c>
      <c r="Q754" s="1">
        <f t="shared" si="764"/>
        <v>25813.040000000001</v>
      </c>
      <c r="R754" s="1">
        <v>25813.040000000001</v>
      </c>
      <c r="S754" s="1">
        <f t="shared" si="765"/>
        <v>0</v>
      </c>
      <c r="T754" s="1">
        <f t="shared" si="766"/>
        <v>25813.040000000001</v>
      </c>
      <c r="U754" s="1">
        <v>25813.040000000001</v>
      </c>
      <c r="V754" s="1">
        <f t="shared" si="767"/>
        <v>0</v>
      </c>
      <c r="W754" s="1">
        <f t="shared" si="768"/>
        <v>25813.040000000001</v>
      </c>
      <c r="X754" s="1">
        <v>27985.56</v>
      </c>
      <c r="Y754" s="41">
        <f t="shared" si="737"/>
        <v>2172.5200000000004</v>
      </c>
      <c r="Z754" s="1">
        <f t="shared" si="769"/>
        <v>27985.56</v>
      </c>
      <c r="AA754" s="1">
        <v>39497.86</v>
      </c>
      <c r="AB754" s="1">
        <f t="shared" si="773"/>
        <v>11512.3</v>
      </c>
      <c r="AC754" s="1">
        <f t="shared" si="770"/>
        <v>39497.86</v>
      </c>
      <c r="AD754" s="41">
        <v>40090.5</v>
      </c>
      <c r="AE754" s="1">
        <f t="shared" si="771"/>
        <v>592.63999999999942</v>
      </c>
      <c r="AF754" s="1">
        <f t="shared" si="772"/>
        <v>40090.5</v>
      </c>
    </row>
    <row r="755" spans="1:32" outlineLevel="2">
      <c r="A755" s="11">
        <v>92000</v>
      </c>
      <c r="B755" s="11">
        <v>12003</v>
      </c>
      <c r="C755" s="11" t="s">
        <v>193</v>
      </c>
      <c r="D755" s="7">
        <v>0</v>
      </c>
      <c r="E755" s="7">
        <v>76417.67</v>
      </c>
      <c r="F755" s="7">
        <f t="shared" si="759"/>
        <v>-76417.67</v>
      </c>
      <c r="G755" s="7">
        <v>76417.67</v>
      </c>
      <c r="H755" s="7">
        <f t="shared" si="760"/>
        <v>76417.67</v>
      </c>
      <c r="I755" s="1">
        <v>59309.04</v>
      </c>
      <c r="J755" s="1">
        <f t="shared" si="725"/>
        <v>17108.629999999997</v>
      </c>
      <c r="K755" s="1">
        <v>-17108.63</v>
      </c>
      <c r="L755" s="1">
        <f t="shared" si="761"/>
        <v>59309.039999999994</v>
      </c>
      <c r="M755" s="7">
        <v>0</v>
      </c>
      <c r="N755" s="1">
        <f t="shared" si="762"/>
        <v>59309.039999999994</v>
      </c>
      <c r="O755" s="1">
        <v>69193.88</v>
      </c>
      <c r="P755" s="1">
        <f t="shared" si="763"/>
        <v>9884.8400000000111</v>
      </c>
      <c r="Q755" s="1">
        <f t="shared" si="764"/>
        <v>69193.88</v>
      </c>
      <c r="R755" s="1">
        <v>69193.88</v>
      </c>
      <c r="S755" s="1">
        <f t="shared" si="765"/>
        <v>0</v>
      </c>
      <c r="T755" s="1">
        <f t="shared" si="766"/>
        <v>69193.88</v>
      </c>
      <c r="U755" s="1">
        <v>59309.04</v>
      </c>
      <c r="V755" s="1">
        <f t="shared" si="767"/>
        <v>-9884.8400000000038</v>
      </c>
      <c r="W755" s="1">
        <f t="shared" si="768"/>
        <v>59309.04</v>
      </c>
      <c r="X755" s="1">
        <v>76514</v>
      </c>
      <c r="Y755" s="41">
        <f t="shared" si="737"/>
        <v>17204.96</v>
      </c>
      <c r="Z755" s="1">
        <f t="shared" si="769"/>
        <v>76514</v>
      </c>
      <c r="AA755" s="1">
        <v>61771.55</v>
      </c>
      <c r="AB755" s="1">
        <f t="shared" si="773"/>
        <v>-14742.449999999997</v>
      </c>
      <c r="AC755" s="1">
        <f t="shared" si="770"/>
        <v>61771.55</v>
      </c>
      <c r="AD755" s="41">
        <v>73205.070000000007</v>
      </c>
      <c r="AE755" s="1">
        <f t="shared" si="771"/>
        <v>11433.520000000004</v>
      </c>
      <c r="AF755" s="1">
        <f t="shared" si="772"/>
        <v>73205.070000000007</v>
      </c>
    </row>
    <row r="756" spans="1:32" outlineLevel="2">
      <c r="A756" s="11">
        <v>92000</v>
      </c>
      <c r="B756" s="11">
        <v>12004</v>
      </c>
      <c r="C756" s="11" t="s">
        <v>194</v>
      </c>
      <c r="D756" s="7">
        <v>0</v>
      </c>
      <c r="E756" s="7">
        <v>80178.600000000006</v>
      </c>
      <c r="F756" s="7">
        <f t="shared" si="759"/>
        <v>-80178.600000000006</v>
      </c>
      <c r="G756" s="7">
        <v>80178.600000000006</v>
      </c>
      <c r="H756" s="7">
        <f t="shared" si="760"/>
        <v>80178.600000000006</v>
      </c>
      <c r="I756" s="1">
        <v>58650.06</v>
      </c>
      <c r="J756" s="1">
        <f t="shared" si="725"/>
        <v>21528.540000000008</v>
      </c>
      <c r="K756" s="1">
        <v>-21528.54</v>
      </c>
      <c r="L756" s="1">
        <f t="shared" si="761"/>
        <v>58650.060000000005</v>
      </c>
      <c r="M756" s="7">
        <f>75407.22-L756</f>
        <v>16757.159999999996</v>
      </c>
      <c r="N756" s="1">
        <f t="shared" si="762"/>
        <v>75407.22</v>
      </c>
      <c r="O756" s="1">
        <v>67028.639999999999</v>
      </c>
      <c r="P756" s="1">
        <f t="shared" si="763"/>
        <v>-8378.5800000000017</v>
      </c>
      <c r="Q756" s="1">
        <f t="shared" si="764"/>
        <v>67028.639999999999</v>
      </c>
      <c r="R756" s="1">
        <v>67028.639999999999</v>
      </c>
      <c r="S756" s="1">
        <f t="shared" si="765"/>
        <v>0</v>
      </c>
      <c r="T756" s="1">
        <f t="shared" si="766"/>
        <v>67028.639999999999</v>
      </c>
      <c r="U756" s="1">
        <v>33514.32</v>
      </c>
      <c r="V756" s="1">
        <f t="shared" si="767"/>
        <v>-33514.32</v>
      </c>
      <c r="W756" s="1">
        <f t="shared" si="768"/>
        <v>33514.32</v>
      </c>
      <c r="X756" s="1">
        <v>39606.51</v>
      </c>
      <c r="Y756" s="41">
        <f t="shared" si="737"/>
        <v>6092.1900000000023</v>
      </c>
      <c r="Z756" s="1">
        <f t="shared" si="769"/>
        <v>39606.51</v>
      </c>
      <c r="AA756" s="1">
        <v>42735.31</v>
      </c>
      <c r="AB756" s="1">
        <f t="shared" si="773"/>
        <v>3128.7999999999956</v>
      </c>
      <c r="AC756" s="1">
        <f t="shared" si="770"/>
        <v>42735.31</v>
      </c>
      <c r="AD756" s="41">
        <v>34701.56</v>
      </c>
      <c r="AE756" s="1">
        <f t="shared" si="771"/>
        <v>-8033.75</v>
      </c>
      <c r="AF756" s="1">
        <f t="shared" si="772"/>
        <v>34701.56</v>
      </c>
    </row>
    <row r="757" spans="1:32" outlineLevel="2">
      <c r="A757" s="11">
        <v>92000</v>
      </c>
      <c r="B757" s="11">
        <v>12006</v>
      </c>
      <c r="C757" s="11" t="s">
        <v>81</v>
      </c>
      <c r="D757" s="7">
        <v>0</v>
      </c>
      <c r="E757" s="7">
        <v>35893.550000000003</v>
      </c>
      <c r="F757" s="7">
        <f t="shared" si="759"/>
        <v>-35893.550000000003</v>
      </c>
      <c r="G757" s="7">
        <v>35893.550000000003</v>
      </c>
      <c r="H757" s="7">
        <f t="shared" si="760"/>
        <v>35893.550000000003</v>
      </c>
      <c r="I757" s="1">
        <v>44934.62</v>
      </c>
      <c r="J757" s="1">
        <f t="shared" si="725"/>
        <v>-9041.07</v>
      </c>
      <c r="K757" s="1">
        <v>9041.07</v>
      </c>
      <c r="L757" s="1">
        <f t="shared" si="761"/>
        <v>44934.62</v>
      </c>
      <c r="M757" s="7">
        <f>46681.2-L757</f>
        <v>1746.5799999999945</v>
      </c>
      <c r="N757" s="1">
        <f t="shared" si="762"/>
        <v>46681.2</v>
      </c>
      <c r="O757" s="1">
        <v>50535.35</v>
      </c>
      <c r="P757" s="1">
        <f t="shared" si="763"/>
        <v>3854.1500000000015</v>
      </c>
      <c r="Q757" s="1">
        <f t="shared" si="764"/>
        <v>50535.35</v>
      </c>
      <c r="R757" s="1">
        <v>55647.76</v>
      </c>
      <c r="S757" s="1">
        <f t="shared" si="765"/>
        <v>5112.4100000000035</v>
      </c>
      <c r="T757" s="1">
        <f t="shared" si="766"/>
        <v>55647.76</v>
      </c>
      <c r="U757" s="1">
        <v>40056.080000000002</v>
      </c>
      <c r="V757" s="1">
        <f t="shared" si="767"/>
        <v>-15591.68</v>
      </c>
      <c r="W757" s="1">
        <f t="shared" si="768"/>
        <v>40056.080000000002</v>
      </c>
      <c r="X757" s="1">
        <v>41390.6</v>
      </c>
      <c r="Y757" s="41">
        <f t="shared" si="737"/>
        <v>1334.5199999999968</v>
      </c>
      <c r="Z757" s="1">
        <f t="shared" si="769"/>
        <v>41390.6</v>
      </c>
      <c r="AA757" s="1">
        <v>37602.01</v>
      </c>
      <c r="AB757" s="1">
        <f t="shared" si="773"/>
        <v>-3788.5899999999965</v>
      </c>
      <c r="AC757" s="1">
        <f t="shared" si="770"/>
        <v>37602.01</v>
      </c>
      <c r="AD757" s="41">
        <v>40516.17</v>
      </c>
      <c r="AE757" s="1">
        <f t="shared" si="771"/>
        <v>2914.1599999999962</v>
      </c>
      <c r="AF757" s="1">
        <f t="shared" si="772"/>
        <v>40516.17</v>
      </c>
    </row>
    <row r="758" spans="1:32" outlineLevel="2">
      <c r="A758" s="11">
        <v>92000</v>
      </c>
      <c r="B758" s="11">
        <v>12100</v>
      </c>
      <c r="C758" s="11" t="s">
        <v>195</v>
      </c>
      <c r="D758" s="7">
        <v>342758.07</v>
      </c>
      <c r="E758" s="7">
        <v>167368.82</v>
      </c>
      <c r="F758" s="7">
        <f t="shared" si="759"/>
        <v>175389.25</v>
      </c>
      <c r="G758" s="7">
        <v>-175389.25</v>
      </c>
      <c r="H758" s="7">
        <f t="shared" si="760"/>
        <v>167368.82</v>
      </c>
      <c r="I758" s="1">
        <v>172719.12</v>
      </c>
      <c r="J758" s="1">
        <f t="shared" si="725"/>
        <v>-5350.2999999999884</v>
      </c>
      <c r="K758" s="1">
        <v>5350.3</v>
      </c>
      <c r="L758" s="1">
        <f t="shared" si="761"/>
        <v>172719.12</v>
      </c>
      <c r="M758" s="7">
        <f>189280.84-L758</f>
        <v>16561.72</v>
      </c>
      <c r="N758" s="1">
        <f t="shared" si="762"/>
        <v>189280.84</v>
      </c>
      <c r="O758" s="1">
        <v>197699.6</v>
      </c>
      <c r="P758" s="1">
        <f t="shared" si="763"/>
        <v>8418.7600000000093</v>
      </c>
      <c r="Q758" s="1">
        <f t="shared" si="764"/>
        <v>197699.6</v>
      </c>
      <c r="R758" s="1">
        <f>204158.78-20240.92</f>
        <v>183917.86</v>
      </c>
      <c r="S758" s="1">
        <f t="shared" si="765"/>
        <v>-13781.74000000002</v>
      </c>
      <c r="T758" s="1">
        <f t="shared" si="766"/>
        <v>183917.86</v>
      </c>
      <c r="U758" s="1">
        <v>114923.2</v>
      </c>
      <c r="V758" s="1">
        <f t="shared" si="767"/>
        <v>-68994.659999999989</v>
      </c>
      <c r="W758" s="1">
        <f t="shared" si="768"/>
        <v>114923.2</v>
      </c>
      <c r="X758" s="1">
        <v>121137.96</v>
      </c>
      <c r="Y758" s="41">
        <f t="shared" si="737"/>
        <v>6214.7600000000093</v>
      </c>
      <c r="Z758" s="1">
        <f t="shared" si="769"/>
        <v>121137.96</v>
      </c>
      <c r="AA758" s="1">
        <v>117033.07</v>
      </c>
      <c r="AB758" s="1">
        <f t="shared" si="773"/>
        <v>-4104.8899999999994</v>
      </c>
      <c r="AC758" s="1">
        <f t="shared" si="770"/>
        <v>117033.07</v>
      </c>
      <c r="AD758" s="41">
        <v>122089.77</v>
      </c>
      <c r="AE758" s="1">
        <f t="shared" si="771"/>
        <v>5056.6999999999971</v>
      </c>
      <c r="AF758" s="1">
        <f t="shared" si="772"/>
        <v>122089.77</v>
      </c>
    </row>
    <row r="759" spans="1:32" outlineLevel="2">
      <c r="A759" s="11">
        <v>92000</v>
      </c>
      <c r="B759" s="11">
        <v>12101</v>
      </c>
      <c r="C759" s="11" t="s">
        <v>196</v>
      </c>
      <c r="D759" s="7">
        <v>0</v>
      </c>
      <c r="E759" s="7">
        <v>233459.5</v>
      </c>
      <c r="F759" s="7">
        <f t="shared" si="759"/>
        <v>-233459.5</v>
      </c>
      <c r="G759" s="7">
        <v>233459.5</v>
      </c>
      <c r="H759" s="7">
        <f t="shared" si="760"/>
        <v>233459.5</v>
      </c>
      <c r="I759" s="1">
        <v>261248.68</v>
      </c>
      <c r="J759" s="1">
        <f t="shared" si="725"/>
        <v>-27789.179999999993</v>
      </c>
      <c r="K759" s="1">
        <v>27789.18</v>
      </c>
      <c r="L759" s="1">
        <f t="shared" si="761"/>
        <v>261248.68</v>
      </c>
      <c r="M759" s="7">
        <f>242680.34-L759</f>
        <v>-18568.339999999997</v>
      </c>
      <c r="N759" s="1">
        <f t="shared" si="762"/>
        <v>242680.34</v>
      </c>
      <c r="O759" s="1">
        <v>252242.48</v>
      </c>
      <c r="P759" s="1">
        <f t="shared" si="763"/>
        <v>9562.140000000014</v>
      </c>
      <c r="Q759" s="1">
        <f t="shared" si="764"/>
        <v>252242.48</v>
      </c>
      <c r="R759" s="1">
        <f>254162.58+20240.92</f>
        <v>274403.5</v>
      </c>
      <c r="S759" s="1">
        <f t="shared" si="765"/>
        <v>22161.01999999999</v>
      </c>
      <c r="T759" s="1">
        <f t="shared" si="766"/>
        <v>274403.5</v>
      </c>
      <c r="U759" s="1">
        <v>182666.82</v>
      </c>
      <c r="V759" s="1">
        <f t="shared" si="767"/>
        <v>-91736.68</v>
      </c>
      <c r="W759" s="1">
        <f t="shared" si="768"/>
        <v>182666.82</v>
      </c>
      <c r="X759" s="1">
        <v>186550.83</v>
      </c>
      <c r="Y759" s="41">
        <f t="shared" si="737"/>
        <v>3884.0099999999802</v>
      </c>
      <c r="Z759" s="1">
        <f t="shared" si="769"/>
        <v>186550.83</v>
      </c>
      <c r="AA759" s="1">
        <v>192236.64</v>
      </c>
      <c r="AB759" s="1">
        <f t="shared" si="773"/>
        <v>5685.8100000000268</v>
      </c>
      <c r="AC759" s="1">
        <f t="shared" si="770"/>
        <v>192236.64</v>
      </c>
      <c r="AD759" s="41">
        <v>196793.1</v>
      </c>
      <c r="AE759" s="1">
        <f t="shared" si="771"/>
        <v>4556.4599999999919</v>
      </c>
      <c r="AF759" s="1">
        <f t="shared" si="772"/>
        <v>196793.1</v>
      </c>
    </row>
    <row r="760" spans="1:32" outlineLevel="2">
      <c r="A760" s="11">
        <v>92000</v>
      </c>
      <c r="B760" s="11">
        <v>12700</v>
      </c>
      <c r="C760" s="11" t="s">
        <v>82</v>
      </c>
      <c r="D760" s="6">
        <v>0</v>
      </c>
      <c r="E760" s="6">
        <v>77762.320000000007</v>
      </c>
      <c r="F760" s="6">
        <f t="shared" si="759"/>
        <v>-77762.320000000007</v>
      </c>
      <c r="G760" s="6">
        <v>77762.320000000007</v>
      </c>
      <c r="H760" s="6">
        <f t="shared" si="760"/>
        <v>77762.320000000007</v>
      </c>
      <c r="I760" s="1">
        <v>43232.160000000003</v>
      </c>
      <c r="J760" s="1">
        <f t="shared" si="725"/>
        <v>34530.160000000003</v>
      </c>
      <c r="K760" s="1">
        <v>-34530.160000000003</v>
      </c>
      <c r="L760" s="1">
        <f t="shared" si="761"/>
        <v>43232.160000000003</v>
      </c>
      <c r="M760" s="7">
        <v>-43232.160000000003</v>
      </c>
      <c r="N760" s="1">
        <f t="shared" si="762"/>
        <v>0</v>
      </c>
      <c r="O760" s="1"/>
      <c r="P760" s="1">
        <f t="shared" si="763"/>
        <v>0</v>
      </c>
      <c r="Q760" s="1">
        <f t="shared" si="764"/>
        <v>0</v>
      </c>
      <c r="S760" s="1">
        <f t="shared" si="765"/>
        <v>0</v>
      </c>
      <c r="T760" s="1">
        <f t="shared" si="766"/>
        <v>0</v>
      </c>
      <c r="V760" s="1">
        <f t="shared" si="767"/>
        <v>0</v>
      </c>
      <c r="W760" s="1">
        <f t="shared" si="768"/>
        <v>0</v>
      </c>
      <c r="X760" s="1">
        <v>0</v>
      </c>
      <c r="Y760" s="41">
        <f t="shared" si="737"/>
        <v>0</v>
      </c>
      <c r="Z760" s="1">
        <f t="shared" si="769"/>
        <v>0</v>
      </c>
      <c r="AA760" s="1">
        <v>0</v>
      </c>
      <c r="AB760" s="1">
        <f t="shared" si="773"/>
        <v>0</v>
      </c>
      <c r="AC760" s="1">
        <f t="shared" si="770"/>
        <v>0</v>
      </c>
      <c r="AD760" s="41">
        <v>0</v>
      </c>
      <c r="AE760" s="1">
        <f t="shared" si="771"/>
        <v>0</v>
      </c>
      <c r="AF760" s="1">
        <f t="shared" si="772"/>
        <v>0</v>
      </c>
    </row>
    <row r="761" spans="1:32" outlineLevel="2">
      <c r="A761" s="11">
        <v>92000</v>
      </c>
      <c r="B761" s="11">
        <v>13000</v>
      </c>
      <c r="C761" s="11" t="s">
        <v>236</v>
      </c>
      <c r="D761" s="7">
        <v>175649.8</v>
      </c>
      <c r="E761" s="7">
        <v>136288.85</v>
      </c>
      <c r="F761" s="7">
        <f t="shared" si="759"/>
        <v>39360.949999999983</v>
      </c>
      <c r="G761" s="7">
        <v>-39360.949999999997</v>
      </c>
      <c r="H761" s="7">
        <f t="shared" si="760"/>
        <v>136288.84999999998</v>
      </c>
      <c r="I761" s="1">
        <v>94120.46</v>
      </c>
      <c r="J761" s="1">
        <f t="shared" si="725"/>
        <v>42168.38999999997</v>
      </c>
      <c r="K761" s="1">
        <v>-42168.39</v>
      </c>
      <c r="L761" s="1">
        <f t="shared" si="761"/>
        <v>94120.459999999977</v>
      </c>
      <c r="M761" s="7">
        <f>77878.48-L761</f>
        <v>-16241.979999999981</v>
      </c>
      <c r="N761" s="1">
        <f t="shared" si="762"/>
        <v>77878.48</v>
      </c>
      <c r="O761" s="1">
        <v>77784.19</v>
      </c>
      <c r="P761" s="1">
        <f t="shared" si="763"/>
        <v>-94.289999999993597</v>
      </c>
      <c r="Q761" s="1">
        <f t="shared" si="764"/>
        <v>77784.19</v>
      </c>
      <c r="R761" s="1">
        <v>44786.69</v>
      </c>
      <c r="S761" s="1">
        <f t="shared" si="765"/>
        <v>-32997.5</v>
      </c>
      <c r="T761" s="1">
        <f t="shared" si="766"/>
        <v>44786.69</v>
      </c>
      <c r="U761" s="1">
        <v>27312.44</v>
      </c>
      <c r="V761" s="1">
        <f t="shared" si="767"/>
        <v>-17474.250000000004</v>
      </c>
      <c r="W761" s="1">
        <f t="shared" si="768"/>
        <v>27312.44</v>
      </c>
      <c r="X761" s="1">
        <v>47749.78</v>
      </c>
      <c r="Y761" s="41">
        <f t="shared" si="737"/>
        <v>20437.34</v>
      </c>
      <c r="Z761" s="1">
        <f t="shared" si="769"/>
        <v>47749.78</v>
      </c>
      <c r="AA761" s="1">
        <v>33730.230000000003</v>
      </c>
      <c r="AB761" s="1">
        <f t="shared" si="773"/>
        <v>-14019.549999999996</v>
      </c>
      <c r="AC761" s="1">
        <f t="shared" si="770"/>
        <v>33730.230000000003</v>
      </c>
      <c r="AD761" s="41">
        <v>38301.230000000003</v>
      </c>
      <c r="AE761" s="1">
        <f t="shared" si="771"/>
        <v>4571</v>
      </c>
      <c r="AF761" s="1">
        <f t="shared" si="772"/>
        <v>38301.230000000003</v>
      </c>
    </row>
    <row r="762" spans="1:32" outlineLevel="2">
      <c r="A762" s="11">
        <v>92000</v>
      </c>
      <c r="B762" s="11">
        <v>13002</v>
      </c>
      <c r="C762" s="11" t="s">
        <v>201</v>
      </c>
      <c r="D762" s="7">
        <v>0</v>
      </c>
      <c r="E762" s="7">
        <v>104971.88</v>
      </c>
      <c r="F762" s="7">
        <f t="shared" si="759"/>
        <v>-104971.88</v>
      </c>
      <c r="G762" s="7">
        <v>104971.88</v>
      </c>
      <c r="H762" s="7">
        <f t="shared" si="760"/>
        <v>104971.88</v>
      </c>
      <c r="I762" s="1">
        <v>90141.1</v>
      </c>
      <c r="J762" s="1">
        <f t="shared" si="725"/>
        <v>14830.779999999999</v>
      </c>
      <c r="K762" s="1">
        <v>-14830.78</v>
      </c>
      <c r="L762" s="1">
        <f t="shared" si="761"/>
        <v>90141.1</v>
      </c>
      <c r="M762" s="7">
        <f>80795.96-L762</f>
        <v>-9345.14</v>
      </c>
      <c r="N762" s="1">
        <f t="shared" si="762"/>
        <v>80795.960000000006</v>
      </c>
      <c r="O762" s="1">
        <v>81304.72</v>
      </c>
      <c r="P762" s="1">
        <f t="shared" si="763"/>
        <v>508.75999999999476</v>
      </c>
      <c r="Q762" s="1">
        <f t="shared" si="764"/>
        <v>81304.72</v>
      </c>
      <c r="R762" s="1">
        <v>44669.24</v>
      </c>
      <c r="S762" s="1">
        <f t="shared" si="765"/>
        <v>-36635.480000000003</v>
      </c>
      <c r="T762" s="1">
        <f t="shared" si="766"/>
        <v>44669.24</v>
      </c>
      <c r="U762" s="1">
        <v>27244.84</v>
      </c>
      <c r="V762" s="1">
        <f t="shared" si="767"/>
        <v>-17424.399999999998</v>
      </c>
      <c r="W762" s="1">
        <f t="shared" si="768"/>
        <v>27244.84</v>
      </c>
      <c r="X762" s="1">
        <v>42570.73</v>
      </c>
      <c r="Y762" s="41">
        <f t="shared" si="737"/>
        <v>15325.890000000003</v>
      </c>
      <c r="Z762" s="1">
        <f t="shared" si="769"/>
        <v>42570.73</v>
      </c>
      <c r="AA762" s="1">
        <v>42996.56</v>
      </c>
      <c r="AB762" s="1">
        <f t="shared" si="773"/>
        <v>425.82999999999447</v>
      </c>
      <c r="AC762" s="1">
        <f t="shared" si="770"/>
        <v>42996.56</v>
      </c>
      <c r="AD762" s="41">
        <v>41049.269999999997</v>
      </c>
      <c r="AE762" s="1">
        <f t="shared" si="771"/>
        <v>-1947.2900000000009</v>
      </c>
      <c r="AF762" s="1">
        <f t="shared" si="772"/>
        <v>41049.269999999997</v>
      </c>
    </row>
    <row r="763" spans="1:32" outlineLevel="2">
      <c r="A763" s="11">
        <v>92000</v>
      </c>
      <c r="B763" s="11">
        <v>15001</v>
      </c>
      <c r="C763" s="11" t="s">
        <v>237</v>
      </c>
      <c r="D763" s="7">
        <v>200000</v>
      </c>
      <c r="E763" s="7"/>
      <c r="F763" s="7">
        <f t="shared" si="759"/>
        <v>200000</v>
      </c>
      <c r="G763" s="7"/>
      <c r="H763" s="7">
        <f t="shared" si="760"/>
        <v>200000</v>
      </c>
      <c r="I763" s="1">
        <v>200000</v>
      </c>
      <c r="J763" s="1">
        <f t="shared" ref="J763:J831" si="774">H763-I763</f>
        <v>0</v>
      </c>
      <c r="K763" s="1">
        <v>0</v>
      </c>
      <c r="L763" s="1">
        <f t="shared" si="761"/>
        <v>200000</v>
      </c>
      <c r="M763" s="7">
        <v>0</v>
      </c>
      <c r="N763" s="1">
        <f t="shared" si="762"/>
        <v>200000</v>
      </c>
      <c r="O763" s="1">
        <v>330000</v>
      </c>
      <c r="P763" s="1">
        <f t="shared" si="763"/>
        <v>130000</v>
      </c>
      <c r="Q763" s="1">
        <f t="shared" si="764"/>
        <v>330000</v>
      </c>
      <c r="R763" s="1">
        <v>330000</v>
      </c>
      <c r="S763" s="1">
        <v>-30000</v>
      </c>
      <c r="T763" s="1">
        <f t="shared" si="766"/>
        <v>300000</v>
      </c>
      <c r="U763" s="1">
        <v>300000</v>
      </c>
      <c r="V763" s="1">
        <f t="shared" si="767"/>
        <v>0</v>
      </c>
      <c r="W763" s="1">
        <f t="shared" si="768"/>
        <v>300000</v>
      </c>
      <c r="X763" s="1">
        <v>100000</v>
      </c>
      <c r="Y763" s="41">
        <f t="shared" si="737"/>
        <v>-200000</v>
      </c>
      <c r="Z763" s="1">
        <f t="shared" si="769"/>
        <v>100000</v>
      </c>
      <c r="AA763" s="1">
        <v>46700</v>
      </c>
      <c r="AB763" s="1">
        <f t="shared" si="773"/>
        <v>-53300</v>
      </c>
      <c r="AC763" s="1">
        <f t="shared" si="770"/>
        <v>46700</v>
      </c>
      <c r="AD763" s="41">
        <v>30000</v>
      </c>
      <c r="AE763" s="1">
        <f t="shared" si="771"/>
        <v>-16700</v>
      </c>
      <c r="AF763" s="1">
        <f t="shared" si="772"/>
        <v>30000</v>
      </c>
    </row>
    <row r="764" spans="1:32" outlineLevel="2">
      <c r="A764" s="11">
        <v>92000</v>
      </c>
      <c r="B764" s="11">
        <v>15002</v>
      </c>
      <c r="C764" s="11" t="s">
        <v>238</v>
      </c>
      <c r="D764" s="7">
        <v>20000</v>
      </c>
      <c r="E764" s="7"/>
      <c r="F764" s="7">
        <f t="shared" si="759"/>
        <v>20000</v>
      </c>
      <c r="G764" s="7"/>
      <c r="H764" s="7">
        <f t="shared" si="760"/>
        <v>20000</v>
      </c>
      <c r="I764" s="1">
        <v>20000</v>
      </c>
      <c r="J764" s="1">
        <f t="shared" si="774"/>
        <v>0</v>
      </c>
      <c r="K764" s="1">
        <v>0</v>
      </c>
      <c r="L764" s="1">
        <f t="shared" si="761"/>
        <v>20000</v>
      </c>
      <c r="M764" s="7">
        <v>0</v>
      </c>
      <c r="N764" s="1">
        <f t="shared" si="762"/>
        <v>20000</v>
      </c>
      <c r="O764" s="1">
        <v>40000</v>
      </c>
      <c r="P764" s="1">
        <f t="shared" si="763"/>
        <v>20000</v>
      </c>
      <c r="Q764" s="1">
        <f t="shared" si="764"/>
        <v>40000</v>
      </c>
      <c r="T764" s="1">
        <f t="shared" si="766"/>
        <v>40000</v>
      </c>
      <c r="U764" s="1">
        <v>40000</v>
      </c>
      <c r="V764" s="1">
        <f t="shared" si="767"/>
        <v>0</v>
      </c>
      <c r="W764" s="1">
        <f t="shared" si="768"/>
        <v>40000</v>
      </c>
      <c r="X764" s="1">
        <v>40000</v>
      </c>
      <c r="Y764" s="41">
        <f t="shared" si="737"/>
        <v>0</v>
      </c>
      <c r="Z764" s="1">
        <f t="shared" si="769"/>
        <v>40000</v>
      </c>
      <c r="AA764" s="1">
        <v>40000</v>
      </c>
      <c r="AB764" s="1">
        <f t="shared" si="773"/>
        <v>0</v>
      </c>
      <c r="AC764" s="1">
        <f t="shared" si="770"/>
        <v>40000</v>
      </c>
      <c r="AD764" s="41">
        <v>40000</v>
      </c>
      <c r="AE764" s="1">
        <f t="shared" si="771"/>
        <v>0</v>
      </c>
      <c r="AF764" s="1">
        <f t="shared" si="772"/>
        <v>40000</v>
      </c>
    </row>
    <row r="765" spans="1:32" s="2" customFormat="1" outlineLevel="1">
      <c r="A765" s="11">
        <v>92000</v>
      </c>
      <c r="B765" s="11">
        <v>16000</v>
      </c>
      <c r="C765" s="11" t="s">
        <v>239</v>
      </c>
      <c r="D765" s="7">
        <v>4114433.18</v>
      </c>
      <c r="E765" s="7"/>
      <c r="F765" s="7">
        <f t="shared" si="759"/>
        <v>4114433.18</v>
      </c>
      <c r="G765" s="7">
        <v>33739.589999999997</v>
      </c>
      <c r="H765" s="18">
        <f t="shared" si="760"/>
        <v>4148172.77</v>
      </c>
      <c r="I765" s="1">
        <v>4228000</v>
      </c>
      <c r="J765" s="1">
        <f t="shared" si="774"/>
        <v>-79827.229999999981</v>
      </c>
      <c r="K765" s="1">
        <v>79827.23</v>
      </c>
      <c r="L765" s="1">
        <f t="shared" si="761"/>
        <v>4228000</v>
      </c>
      <c r="M765" s="7">
        <f>158715.64+972741.16+5894.34+249090.22+33078.85+25624.05+33442.26+35901.88+33826.7+135455.56+152063.03+82666.04+532162.53+29031.55+49281.75+143221.21+40314.24+45068.99+174238.7+21306.29+12088.09+175231.04+66466.7+6905.54+224694.23+27108.82+50033.7+7332.86+346343.6+31681.59+5916.33+9104+25273.5+16416.66+181950.76-L765</f>
        <v>-88327.58999999892</v>
      </c>
      <c r="N765" s="1">
        <f t="shared" si="762"/>
        <v>4139672.4100000011</v>
      </c>
      <c r="O765" s="1">
        <f>161222.39+944041.77+5916.33+244983.02+9652.61+20707.52+32655.28+36059.69+33826.7+142672.31+161460.08+63387.9+523574.6+130250.31+40482.22+39664.52+123163.24+32553.19+23651.22+12097.11+158367.16+6905.54+66492.67+178711.48+27028.46+50033.7+7332.86+350244.48+25391.74+9104+5938.31+31721.97+14847.46+172463.84</f>
        <v>3886605.6800000011</v>
      </c>
      <c r="P765" s="1">
        <f t="shared" si="763"/>
        <v>-253066.72999999998</v>
      </c>
      <c r="Q765" s="1">
        <f t="shared" si="764"/>
        <v>3886605.6800000011</v>
      </c>
      <c r="R765" s="41">
        <f>123518.13+946801.5+42310.23+5916.33+251982.31+20981.08+26294.3+37440.21+31740.22+137900.83+152470.62+60416.12+498457.22+118903.91+39501.47+39183.6+109416.13+26517.74+23803.03+12088.5+148559.04+6958.73+66620.7+149119.97+27754.6+52536.54+7357.09+334533.08+25766.55+9210.74+5916.33+32393.72+15071.36+169443.16</f>
        <v>3756885.0900000017</v>
      </c>
      <c r="S765" s="1">
        <f t="shared" si="765"/>
        <v>-129720.58999999939</v>
      </c>
      <c r="T765" s="1">
        <f t="shared" si="766"/>
        <v>3756885.0900000017</v>
      </c>
      <c r="U765" s="41">
        <f>148055.93+40698.91+953674.15+325274.21+7731.99+26790.79+42159.01+43491.62+129183.66+177945.98+61254.31+492431.11+200523.79+45522.96+38568.51+104015.65+27158.34+22162.1+18192.55+151672.21+7035.26+73746.31+126093.15+21485.34+7445.94+214969.2+26032.22+9253.44+5993.26+33060.31+15185.58+190799.82</f>
        <v>3787607.6099999989</v>
      </c>
      <c r="V765" s="1">
        <f t="shared" si="767"/>
        <v>30722.519999997225</v>
      </c>
      <c r="W765" s="1">
        <f t="shared" si="768"/>
        <v>3787607.6099999989</v>
      </c>
      <c r="X765" s="41">
        <f>128577+974337.69+41365.87+285885.87+9044.11+26952.5+44063.99+70742+142962.48+153043.2+66401.52+498931.82+224652.63+39918.91+39202.42+109229.96+34809.28+10652.27+9819.04+162062.47+7105.61+68219.49+122383.6+28336.95+41597.17+7520.4+230760.78+26412.79+9345.98+6075.39+33322.66+15430+254624.253</f>
        <v>3923790.1030000006</v>
      </c>
      <c r="Y765" s="41">
        <f t="shared" si="737"/>
        <v>136182.49300000165</v>
      </c>
      <c r="Z765" s="1">
        <f t="shared" si="769"/>
        <v>3923790.1030000006</v>
      </c>
      <c r="AA765" s="41">
        <f>136682.46+973675.48+40881.99+269737.69+29345.56+44337.14+119076.22+143112.02+151908.8+61626.59+504140.48+253065.79+45249.45+26992.19+114636.22+21632.23+25492.99+16381.27+152137.19+14155.07+66865.68+15965.72+121741.77+7055.74+53183.33+7620.48+218182.2+28026.46+10996.19+6192.28+33838.01+15584.43+196372.5</f>
        <v>3925891.6200000006</v>
      </c>
      <c r="AB765" s="1">
        <f t="shared" si="773"/>
        <v>2101.5169999999925</v>
      </c>
      <c r="AC765" s="1">
        <f t="shared" si="770"/>
        <v>3925891.6200000006</v>
      </c>
      <c r="AD765" s="41">
        <v>219934.75</v>
      </c>
      <c r="AE765" s="1">
        <f t="shared" si="771"/>
        <v>-3705956.8700000006</v>
      </c>
      <c r="AF765" s="1">
        <f t="shared" si="772"/>
        <v>219934.75</v>
      </c>
    </row>
    <row r="766" spans="1:32" s="2" customFormat="1" outlineLevel="1">
      <c r="A766" s="11">
        <v>92000</v>
      </c>
      <c r="B766" s="11">
        <v>16104</v>
      </c>
      <c r="C766" s="11" t="s">
        <v>240</v>
      </c>
      <c r="D766" s="7">
        <v>10000</v>
      </c>
      <c r="E766" s="7"/>
      <c r="F766" s="7">
        <f t="shared" si="759"/>
        <v>10000</v>
      </c>
      <c r="G766" s="7"/>
      <c r="H766" s="7">
        <f t="shared" si="760"/>
        <v>10000</v>
      </c>
      <c r="I766" s="1">
        <v>10000</v>
      </c>
      <c r="J766" s="1">
        <f t="shared" si="774"/>
        <v>0</v>
      </c>
      <c r="K766" s="1">
        <v>0</v>
      </c>
      <c r="L766" s="1">
        <f t="shared" si="761"/>
        <v>10000</v>
      </c>
      <c r="M766" s="7"/>
      <c r="N766" s="1">
        <f t="shared" si="762"/>
        <v>10000</v>
      </c>
      <c r="O766" s="1">
        <v>10000</v>
      </c>
      <c r="P766" s="1">
        <f t="shared" si="763"/>
        <v>0</v>
      </c>
      <c r="Q766" s="1">
        <f t="shared" si="764"/>
        <v>10000</v>
      </c>
      <c r="R766" s="41">
        <v>10000</v>
      </c>
      <c r="S766" s="1">
        <f t="shared" si="765"/>
        <v>0</v>
      </c>
      <c r="T766" s="1">
        <f t="shared" si="766"/>
        <v>10000</v>
      </c>
      <c r="U766" s="41">
        <v>10000</v>
      </c>
      <c r="V766" s="1">
        <f t="shared" si="767"/>
        <v>0</v>
      </c>
      <c r="W766" s="1">
        <f t="shared" si="768"/>
        <v>10000</v>
      </c>
      <c r="X766" s="41">
        <v>10000</v>
      </c>
      <c r="Y766" s="41">
        <f t="shared" si="737"/>
        <v>0</v>
      </c>
      <c r="Z766" s="1">
        <f t="shared" si="769"/>
        <v>10000</v>
      </c>
      <c r="AA766" s="41">
        <v>10000</v>
      </c>
      <c r="AB766" s="1">
        <f t="shared" si="773"/>
        <v>0</v>
      </c>
      <c r="AC766" s="1">
        <f t="shared" si="770"/>
        <v>10000</v>
      </c>
      <c r="AD766" s="41">
        <v>10000</v>
      </c>
      <c r="AE766" s="1">
        <f t="shared" si="771"/>
        <v>0</v>
      </c>
      <c r="AF766" s="1">
        <f t="shared" si="772"/>
        <v>10000</v>
      </c>
    </row>
    <row r="767" spans="1:32" s="2" customFormat="1" outlineLevel="1">
      <c r="A767" s="11">
        <v>92000</v>
      </c>
      <c r="B767" s="11">
        <v>16200</v>
      </c>
      <c r="C767" s="11" t="s">
        <v>241</v>
      </c>
      <c r="D767" s="6">
        <v>76694.48</v>
      </c>
      <c r="E767" s="6">
        <v>77762.320000000007</v>
      </c>
      <c r="F767" s="6">
        <f t="shared" si="759"/>
        <v>-1067.8400000000111</v>
      </c>
      <c r="G767" s="6">
        <v>1067.8399999999999</v>
      </c>
      <c r="H767" s="6">
        <f t="shared" si="760"/>
        <v>77762.319999999992</v>
      </c>
      <c r="I767" s="1">
        <v>72053.61</v>
      </c>
      <c r="J767" s="1">
        <f t="shared" si="774"/>
        <v>5708.7099999999919</v>
      </c>
      <c r="K767" s="1">
        <v>-5708.71</v>
      </c>
      <c r="L767" s="1">
        <f t="shared" si="761"/>
        <v>72053.609999999986</v>
      </c>
      <c r="M767" s="7">
        <v>-42053.61</v>
      </c>
      <c r="N767" s="1">
        <f t="shared" si="762"/>
        <v>29999.999999999985</v>
      </c>
      <c r="O767" s="1">
        <v>30000</v>
      </c>
      <c r="P767" s="1">
        <f t="shared" si="763"/>
        <v>0</v>
      </c>
      <c r="Q767" s="1">
        <f t="shared" si="764"/>
        <v>29999.999999999985</v>
      </c>
      <c r="R767" s="41">
        <v>15000</v>
      </c>
      <c r="S767" s="1">
        <f t="shared" si="765"/>
        <v>-14999.999999999985</v>
      </c>
      <c r="T767" s="1">
        <f t="shared" si="766"/>
        <v>15000</v>
      </c>
      <c r="U767" s="41">
        <v>15000</v>
      </c>
      <c r="V767" s="1">
        <f t="shared" si="767"/>
        <v>0</v>
      </c>
      <c r="W767" s="1">
        <f t="shared" si="768"/>
        <v>15000</v>
      </c>
      <c r="X767" s="41">
        <v>15000</v>
      </c>
      <c r="Y767" s="41">
        <f t="shared" si="737"/>
        <v>0</v>
      </c>
      <c r="Z767" s="1">
        <f t="shared" si="769"/>
        <v>15000</v>
      </c>
      <c r="AA767" s="41">
        <v>15000</v>
      </c>
      <c r="AB767" s="1">
        <f t="shared" si="773"/>
        <v>0</v>
      </c>
      <c r="AC767" s="1">
        <f t="shared" si="770"/>
        <v>15000</v>
      </c>
      <c r="AD767" s="41">
        <v>15000</v>
      </c>
      <c r="AE767" s="1">
        <f t="shared" si="771"/>
        <v>0</v>
      </c>
      <c r="AF767" s="1">
        <f t="shared" si="772"/>
        <v>15000</v>
      </c>
    </row>
    <row r="768" spans="1:32" s="2" customFormat="1" outlineLevel="1">
      <c r="A768" s="11">
        <v>92000</v>
      </c>
      <c r="B768" s="11">
        <v>20200</v>
      </c>
      <c r="C768" s="11" t="s">
        <v>242</v>
      </c>
      <c r="D768" s="7">
        <v>19016.8</v>
      </c>
      <c r="E768" s="7">
        <f>14911.68*1.17/1.16</f>
        <v>15040.228965517243</v>
      </c>
      <c r="F768" s="7">
        <f t="shared" si="759"/>
        <v>3976.5710344827567</v>
      </c>
      <c r="G768" s="7">
        <v>-3976.57</v>
      </c>
      <c r="H768" s="7">
        <f t="shared" si="760"/>
        <v>15040.23</v>
      </c>
      <c r="I768" s="1"/>
      <c r="J768" s="1">
        <f t="shared" si="774"/>
        <v>15040.23</v>
      </c>
      <c r="K768" s="1"/>
      <c r="L768" s="1">
        <f t="shared" si="761"/>
        <v>15040.23</v>
      </c>
      <c r="M768" s="7"/>
      <c r="N768" s="1">
        <f t="shared" si="762"/>
        <v>15040.23</v>
      </c>
      <c r="O768" s="1"/>
      <c r="P768" s="3"/>
      <c r="Q768" s="1">
        <f t="shared" si="764"/>
        <v>15040.23</v>
      </c>
      <c r="R768" s="41">
        <v>13818</v>
      </c>
      <c r="S768" s="3"/>
      <c r="T768" s="1">
        <f t="shared" si="766"/>
        <v>15040.23</v>
      </c>
      <c r="U768" s="41">
        <v>16807.23</v>
      </c>
      <c r="V768" s="1">
        <f t="shared" si="767"/>
        <v>1767</v>
      </c>
      <c r="W768" s="1">
        <f t="shared" si="768"/>
        <v>16807.23</v>
      </c>
      <c r="X768" s="41">
        <v>16807.23</v>
      </c>
      <c r="Y768" s="41">
        <f t="shared" si="737"/>
        <v>0</v>
      </c>
      <c r="Z768" s="1">
        <f t="shared" si="769"/>
        <v>16807.23</v>
      </c>
      <c r="AA768" s="41">
        <v>16900</v>
      </c>
      <c r="AB768" s="1">
        <f t="shared" si="773"/>
        <v>92.770000000000437</v>
      </c>
      <c r="AC768" s="1">
        <f t="shared" si="770"/>
        <v>16900</v>
      </c>
      <c r="AD768" s="41">
        <v>16900</v>
      </c>
      <c r="AE768" s="1">
        <f t="shared" si="771"/>
        <v>0</v>
      </c>
      <c r="AF768" s="1">
        <f t="shared" si="772"/>
        <v>16900</v>
      </c>
    </row>
    <row r="769" spans="1:32" s="2" customFormat="1" outlineLevel="1">
      <c r="A769" s="11">
        <v>92000</v>
      </c>
      <c r="B769" s="11">
        <v>20300</v>
      </c>
      <c r="C769" s="11" t="s">
        <v>243</v>
      </c>
      <c r="D769" s="7">
        <v>5037.79</v>
      </c>
      <c r="E769" s="7"/>
      <c r="F769" s="7">
        <f t="shared" si="759"/>
        <v>5037.79</v>
      </c>
      <c r="G769" s="7"/>
      <c r="H769" s="7">
        <f t="shared" si="760"/>
        <v>5037.79</v>
      </c>
      <c r="I769" s="1"/>
      <c r="J769" s="1">
        <f t="shared" si="774"/>
        <v>5037.79</v>
      </c>
      <c r="K769" s="1"/>
      <c r="L769" s="1">
        <f t="shared" si="761"/>
        <v>5037.79</v>
      </c>
      <c r="M769" s="7"/>
      <c r="N769" s="1">
        <f t="shared" si="762"/>
        <v>5037.79</v>
      </c>
      <c r="O769" s="1"/>
      <c r="P769" s="3"/>
      <c r="Q769" s="1">
        <f t="shared" si="764"/>
        <v>5037.79</v>
      </c>
      <c r="R769" s="3"/>
      <c r="S769" s="3"/>
      <c r="T769" s="1">
        <f t="shared" si="766"/>
        <v>5037.79</v>
      </c>
      <c r="U769" s="41">
        <v>5000</v>
      </c>
      <c r="V769" s="1">
        <f t="shared" si="767"/>
        <v>-37.789999999999964</v>
      </c>
      <c r="W769" s="1">
        <f t="shared" si="768"/>
        <v>5000</v>
      </c>
      <c r="X769" s="41">
        <v>4000</v>
      </c>
      <c r="Y769" s="41">
        <f t="shared" si="737"/>
        <v>-1000</v>
      </c>
      <c r="Z769" s="1">
        <f t="shared" si="769"/>
        <v>4000</v>
      </c>
      <c r="AA769" s="41">
        <v>4000</v>
      </c>
      <c r="AB769" s="1">
        <f t="shared" si="773"/>
        <v>0</v>
      </c>
      <c r="AC769" s="1">
        <f t="shared" si="770"/>
        <v>4000</v>
      </c>
      <c r="AD769" s="41">
        <v>5000</v>
      </c>
      <c r="AE769" s="1">
        <f t="shared" si="771"/>
        <v>1000</v>
      </c>
      <c r="AF769" s="1">
        <f t="shared" si="772"/>
        <v>5000</v>
      </c>
    </row>
    <row r="770" spans="1:32" s="2" customFormat="1" outlineLevel="1">
      <c r="A770" s="11">
        <v>92000</v>
      </c>
      <c r="B770" s="11">
        <v>21300</v>
      </c>
      <c r="C770" s="11" t="s">
        <v>244</v>
      </c>
      <c r="D770" s="7">
        <v>7067.9</v>
      </c>
      <c r="E770" s="7"/>
      <c r="F770" s="7">
        <f t="shared" si="759"/>
        <v>7067.9</v>
      </c>
      <c r="G770" s="7"/>
      <c r="H770" s="7">
        <f t="shared" si="760"/>
        <v>7067.9</v>
      </c>
      <c r="I770" s="1"/>
      <c r="J770" s="1">
        <f t="shared" si="774"/>
        <v>7067.9</v>
      </c>
      <c r="K770" s="1"/>
      <c r="L770" s="1">
        <f t="shared" si="761"/>
        <v>7067.9</v>
      </c>
      <c r="M770" s="7">
        <v>28000</v>
      </c>
      <c r="N770" s="1">
        <f t="shared" si="762"/>
        <v>35067.9</v>
      </c>
      <c r="O770" s="1"/>
      <c r="P770" s="3"/>
      <c r="Q770" s="1">
        <f t="shared" si="764"/>
        <v>35067.9</v>
      </c>
      <c r="R770" s="3"/>
      <c r="S770" s="3"/>
      <c r="T770" s="1">
        <f t="shared" si="766"/>
        <v>35067.9</v>
      </c>
      <c r="U770" s="41">
        <v>35000</v>
      </c>
      <c r="V770" s="1">
        <f t="shared" si="767"/>
        <v>-67.900000000001455</v>
      </c>
      <c r="W770" s="1">
        <f t="shared" si="768"/>
        <v>35000</v>
      </c>
      <c r="X770" s="41">
        <v>35000</v>
      </c>
      <c r="Y770" s="41">
        <f t="shared" si="737"/>
        <v>0</v>
      </c>
      <c r="Z770" s="1">
        <f t="shared" si="769"/>
        <v>35000</v>
      </c>
      <c r="AA770" s="41">
        <f>26620</f>
        <v>26620</v>
      </c>
      <c r="AB770" s="1">
        <f t="shared" si="773"/>
        <v>-8380</v>
      </c>
      <c r="AC770" s="1">
        <f t="shared" si="770"/>
        <v>26620</v>
      </c>
      <c r="AD770" s="41">
        <v>20000</v>
      </c>
      <c r="AE770" s="1">
        <f t="shared" si="771"/>
        <v>-6620</v>
      </c>
      <c r="AF770" s="1">
        <f t="shared" si="772"/>
        <v>20000</v>
      </c>
    </row>
    <row r="771" spans="1:32" s="2" customFormat="1" outlineLevel="1">
      <c r="A771" s="11">
        <v>92000</v>
      </c>
      <c r="B771" s="11">
        <v>21400</v>
      </c>
      <c r="C771" s="11" t="s">
        <v>245</v>
      </c>
      <c r="D771" s="7">
        <v>128</v>
      </c>
      <c r="E771" s="7"/>
      <c r="F771" s="7">
        <f t="shared" si="759"/>
        <v>128</v>
      </c>
      <c r="G771" s="7"/>
      <c r="H771" s="7">
        <f t="shared" si="760"/>
        <v>128</v>
      </c>
      <c r="I771" s="1"/>
      <c r="J771" s="1">
        <f t="shared" si="774"/>
        <v>128</v>
      </c>
      <c r="K771" s="1"/>
      <c r="L771" s="1">
        <f t="shared" si="761"/>
        <v>128</v>
      </c>
      <c r="M771" s="7"/>
      <c r="N771" s="1">
        <f t="shared" si="762"/>
        <v>128</v>
      </c>
      <c r="O771" s="1"/>
      <c r="P771" s="3"/>
      <c r="Q771" s="1">
        <f t="shared" si="764"/>
        <v>128</v>
      </c>
      <c r="R771" s="3"/>
      <c r="S771" s="3"/>
      <c r="T771" s="1">
        <f t="shared" si="766"/>
        <v>128</v>
      </c>
      <c r="U771" s="41">
        <v>0</v>
      </c>
      <c r="V771" s="1">
        <f t="shared" si="767"/>
        <v>-128</v>
      </c>
      <c r="W771" s="1">
        <f t="shared" si="768"/>
        <v>0</v>
      </c>
      <c r="X771" s="41">
        <v>0</v>
      </c>
      <c r="Y771" s="41">
        <f t="shared" ref="Y771:Y836" si="775">X771-W771</f>
        <v>0</v>
      </c>
      <c r="Z771" s="1">
        <f t="shared" si="769"/>
        <v>0</v>
      </c>
      <c r="AA771" s="41">
        <v>0</v>
      </c>
      <c r="AB771" s="1">
        <f t="shared" si="773"/>
        <v>0</v>
      </c>
      <c r="AC771" s="1">
        <f t="shared" si="770"/>
        <v>0</v>
      </c>
      <c r="AD771" s="41">
        <v>1000</v>
      </c>
      <c r="AE771" s="1">
        <f t="shared" si="771"/>
        <v>1000</v>
      </c>
      <c r="AF771" s="1">
        <f t="shared" si="772"/>
        <v>1000</v>
      </c>
    </row>
    <row r="772" spans="1:32" s="2" customFormat="1" outlineLevel="1">
      <c r="A772" s="11">
        <v>92000</v>
      </c>
      <c r="B772" s="11">
        <v>22000</v>
      </c>
      <c r="C772" s="11" t="s">
        <v>246</v>
      </c>
      <c r="D772" s="7">
        <v>14135.8</v>
      </c>
      <c r="E772" s="7"/>
      <c r="F772" s="7">
        <f t="shared" si="759"/>
        <v>14135.8</v>
      </c>
      <c r="G772" s="7"/>
      <c r="H772" s="7">
        <f t="shared" si="760"/>
        <v>14135.8</v>
      </c>
      <c r="I772" s="1"/>
      <c r="J772" s="1">
        <f t="shared" si="774"/>
        <v>14135.8</v>
      </c>
      <c r="K772" s="1"/>
      <c r="L772" s="1">
        <f t="shared" si="761"/>
        <v>14135.8</v>
      </c>
      <c r="M772" s="7"/>
      <c r="N772" s="1">
        <f t="shared" si="762"/>
        <v>14135.8</v>
      </c>
      <c r="O772" s="1"/>
      <c r="P772" s="3"/>
      <c r="Q772" s="1">
        <f t="shared" si="764"/>
        <v>14135.8</v>
      </c>
      <c r="R772" s="3"/>
      <c r="S772" s="3">
        <v>81.96</v>
      </c>
      <c r="T772" s="1">
        <f t="shared" si="766"/>
        <v>14217.759999999998</v>
      </c>
      <c r="U772" s="41">
        <v>15000</v>
      </c>
      <c r="V772" s="1">
        <f t="shared" si="767"/>
        <v>782.2400000000016</v>
      </c>
      <c r="W772" s="1">
        <f t="shared" si="768"/>
        <v>15000</v>
      </c>
      <c r="X772" s="41">
        <v>15000</v>
      </c>
      <c r="Y772" s="41">
        <f t="shared" si="775"/>
        <v>0</v>
      </c>
      <c r="Z772" s="1">
        <f t="shared" si="769"/>
        <v>15000</v>
      </c>
      <c r="AA772" s="41">
        <v>15000</v>
      </c>
      <c r="AB772" s="1">
        <f t="shared" si="773"/>
        <v>0</v>
      </c>
      <c r="AC772" s="1">
        <f t="shared" si="770"/>
        <v>15000</v>
      </c>
      <c r="AD772" s="41">
        <v>16000</v>
      </c>
      <c r="AE772" s="1">
        <f t="shared" si="771"/>
        <v>1000</v>
      </c>
      <c r="AF772" s="1">
        <f t="shared" si="772"/>
        <v>16000</v>
      </c>
    </row>
    <row r="773" spans="1:32" s="2" customFormat="1" outlineLevel="1">
      <c r="A773" s="11">
        <v>92000</v>
      </c>
      <c r="B773" s="11">
        <v>22001</v>
      </c>
      <c r="C773" s="11" t="s">
        <v>247</v>
      </c>
      <c r="D773" s="7">
        <v>4711.9399999999996</v>
      </c>
      <c r="E773" s="7"/>
      <c r="F773" s="7">
        <f t="shared" si="759"/>
        <v>4711.9399999999996</v>
      </c>
      <c r="G773" s="7"/>
      <c r="H773" s="7">
        <f t="shared" si="760"/>
        <v>4711.9399999999996</v>
      </c>
      <c r="I773" s="1"/>
      <c r="J773" s="1">
        <f t="shared" si="774"/>
        <v>4711.9399999999996</v>
      </c>
      <c r="K773" s="1"/>
      <c r="L773" s="1">
        <f t="shared" si="761"/>
        <v>4711.9399999999996</v>
      </c>
      <c r="M773" s="7"/>
      <c r="N773" s="1">
        <f t="shared" si="762"/>
        <v>4711.9399999999996</v>
      </c>
      <c r="O773" s="1"/>
      <c r="P773" s="3"/>
      <c r="Q773" s="1">
        <f t="shared" si="764"/>
        <v>4711.9399999999996</v>
      </c>
      <c r="R773" s="3"/>
      <c r="S773" s="3"/>
      <c r="T773" s="1">
        <f t="shared" si="766"/>
        <v>4711.9399999999996</v>
      </c>
      <c r="U773" s="41">
        <v>3000</v>
      </c>
      <c r="V773" s="1">
        <f t="shared" si="767"/>
        <v>-1711.9399999999996</v>
      </c>
      <c r="W773" s="1">
        <f t="shared" si="768"/>
        <v>3000</v>
      </c>
      <c r="X773" s="41">
        <v>3000</v>
      </c>
      <c r="Y773" s="41">
        <f t="shared" si="775"/>
        <v>0</v>
      </c>
      <c r="Z773" s="1">
        <f t="shared" si="769"/>
        <v>3000</v>
      </c>
      <c r="AA773" s="41">
        <v>3000</v>
      </c>
      <c r="AB773" s="1">
        <f t="shared" si="773"/>
        <v>0</v>
      </c>
      <c r="AC773" s="1">
        <f t="shared" si="770"/>
        <v>3000</v>
      </c>
      <c r="AD773" s="41">
        <v>3000</v>
      </c>
      <c r="AE773" s="1">
        <f t="shared" si="771"/>
        <v>0</v>
      </c>
      <c r="AF773" s="1">
        <f t="shared" si="772"/>
        <v>3000</v>
      </c>
    </row>
    <row r="774" spans="1:32" s="2" customFormat="1" outlineLevel="1">
      <c r="A774" s="11">
        <v>92000</v>
      </c>
      <c r="B774" s="11">
        <v>22101</v>
      </c>
      <c r="C774" s="11" t="s">
        <v>248</v>
      </c>
      <c r="D774" s="7">
        <v>20000</v>
      </c>
      <c r="E774" s="7"/>
      <c r="F774" s="7">
        <f t="shared" si="759"/>
        <v>20000</v>
      </c>
      <c r="G774" s="7"/>
      <c r="H774" s="7">
        <f t="shared" si="760"/>
        <v>20000</v>
      </c>
      <c r="I774" s="1"/>
      <c r="J774" s="1">
        <f t="shared" si="774"/>
        <v>20000</v>
      </c>
      <c r="K774" s="1"/>
      <c r="L774" s="1">
        <f t="shared" si="761"/>
        <v>20000</v>
      </c>
      <c r="M774" s="7">
        <v>-20000</v>
      </c>
      <c r="N774" s="1">
        <f t="shared" si="762"/>
        <v>0</v>
      </c>
      <c r="O774" s="1"/>
      <c r="P774" s="3"/>
      <c r="Q774" s="1">
        <f t="shared" si="764"/>
        <v>0</v>
      </c>
      <c r="R774" s="3"/>
      <c r="S774" s="3"/>
      <c r="T774" s="1">
        <f t="shared" si="766"/>
        <v>0</v>
      </c>
      <c r="U774" s="41">
        <v>5000</v>
      </c>
      <c r="V774" s="1">
        <f t="shared" si="767"/>
        <v>5000</v>
      </c>
      <c r="W774" s="1">
        <f t="shared" si="768"/>
        <v>5000</v>
      </c>
      <c r="X774" s="41">
        <v>5000</v>
      </c>
      <c r="Y774" s="41">
        <f t="shared" si="775"/>
        <v>0</v>
      </c>
      <c r="Z774" s="1">
        <f t="shared" si="769"/>
        <v>5000</v>
      </c>
      <c r="AA774" s="41">
        <v>5000</v>
      </c>
      <c r="AB774" s="1">
        <f t="shared" si="773"/>
        <v>0</v>
      </c>
      <c r="AC774" s="1">
        <f t="shared" si="770"/>
        <v>5000</v>
      </c>
      <c r="AD774" s="41">
        <v>1000</v>
      </c>
      <c r="AE774" s="1">
        <f t="shared" si="771"/>
        <v>-4000</v>
      </c>
      <c r="AF774" s="1">
        <f t="shared" si="772"/>
        <v>1000</v>
      </c>
    </row>
    <row r="775" spans="1:32" s="2" customFormat="1" outlineLevel="1">
      <c r="A775" s="11">
        <v>92000</v>
      </c>
      <c r="B775" s="11">
        <v>22103</v>
      </c>
      <c r="C775" s="11" t="s">
        <v>249</v>
      </c>
      <c r="D775" s="7">
        <v>942.98</v>
      </c>
      <c r="E775" s="7"/>
      <c r="F775" s="7">
        <f t="shared" si="759"/>
        <v>942.98</v>
      </c>
      <c r="G775" s="7"/>
      <c r="H775" s="7">
        <f t="shared" si="760"/>
        <v>942.98</v>
      </c>
      <c r="I775" s="1"/>
      <c r="J775" s="1">
        <f t="shared" si="774"/>
        <v>942.98</v>
      </c>
      <c r="K775" s="1"/>
      <c r="L775" s="1">
        <f t="shared" si="761"/>
        <v>942.98</v>
      </c>
      <c r="M775" s="7"/>
      <c r="N775" s="1">
        <f t="shared" si="762"/>
        <v>942.98</v>
      </c>
      <c r="O775" s="1"/>
      <c r="P775" s="3"/>
      <c r="Q775" s="1">
        <f t="shared" si="764"/>
        <v>942.98</v>
      </c>
      <c r="R775" s="3"/>
      <c r="S775" s="41">
        <v>-542.98</v>
      </c>
      <c r="T775" s="1">
        <f t="shared" si="766"/>
        <v>400</v>
      </c>
      <c r="U775" s="1">
        <f t="shared" si="766"/>
        <v>400</v>
      </c>
      <c r="V775" s="1">
        <f t="shared" si="767"/>
        <v>0</v>
      </c>
      <c r="W775" s="1">
        <f t="shared" si="768"/>
        <v>400</v>
      </c>
      <c r="X775" s="41">
        <v>400</v>
      </c>
      <c r="Y775" s="41">
        <f t="shared" si="775"/>
        <v>0</v>
      </c>
      <c r="Z775" s="1">
        <f t="shared" si="769"/>
        <v>400</v>
      </c>
      <c r="AA775" s="41">
        <v>400</v>
      </c>
      <c r="AB775" s="1">
        <f t="shared" si="773"/>
        <v>0</v>
      </c>
      <c r="AC775" s="1">
        <f t="shared" si="770"/>
        <v>400</v>
      </c>
      <c r="AD775" s="41">
        <v>300</v>
      </c>
      <c r="AE775" s="1">
        <f t="shared" si="771"/>
        <v>-100</v>
      </c>
      <c r="AF775" s="1">
        <f t="shared" si="772"/>
        <v>300</v>
      </c>
    </row>
    <row r="776" spans="1:32" s="2" customFormat="1" outlineLevel="1">
      <c r="A776" s="11">
        <v>92000</v>
      </c>
      <c r="B776" s="11">
        <v>22104</v>
      </c>
      <c r="C776" s="11" t="s">
        <v>250</v>
      </c>
      <c r="D776" s="7">
        <v>2355.9699999999998</v>
      </c>
      <c r="E776" s="7"/>
      <c r="F776" s="7">
        <f t="shared" si="759"/>
        <v>2355.9699999999998</v>
      </c>
      <c r="G776" s="7"/>
      <c r="H776" s="7">
        <f t="shared" si="760"/>
        <v>2355.9699999999998</v>
      </c>
      <c r="I776" s="1"/>
      <c r="J776" s="1">
        <f t="shared" si="774"/>
        <v>2355.9699999999998</v>
      </c>
      <c r="K776" s="1"/>
      <c r="L776" s="1">
        <f t="shared" si="761"/>
        <v>2355.9699999999998</v>
      </c>
      <c r="M776" s="7"/>
      <c r="N776" s="1">
        <f t="shared" si="762"/>
        <v>2355.9699999999998</v>
      </c>
      <c r="O776" s="1"/>
      <c r="P776" s="3"/>
      <c r="Q776" s="1">
        <f t="shared" ref="Q776:Q808" si="776">N776+P776</f>
        <v>2355.9699999999998</v>
      </c>
      <c r="R776" s="3"/>
      <c r="S776" s="41">
        <v>-2055.9699999999998</v>
      </c>
      <c r="T776" s="1">
        <f t="shared" si="766"/>
        <v>300</v>
      </c>
      <c r="U776" s="1">
        <f t="shared" si="766"/>
        <v>300</v>
      </c>
      <c r="V776" s="1">
        <f t="shared" si="767"/>
        <v>0</v>
      </c>
      <c r="W776" s="1">
        <f t="shared" si="768"/>
        <v>300</v>
      </c>
      <c r="X776" s="41">
        <v>300</v>
      </c>
      <c r="Y776" s="41">
        <f t="shared" si="775"/>
        <v>0</v>
      </c>
      <c r="Z776" s="1">
        <f t="shared" si="769"/>
        <v>300</v>
      </c>
      <c r="AA776" s="41">
        <v>300</v>
      </c>
      <c r="AB776" s="1">
        <f t="shared" si="773"/>
        <v>0</v>
      </c>
      <c r="AC776" s="1">
        <f t="shared" si="770"/>
        <v>300</v>
      </c>
      <c r="AD776" s="41">
        <v>0</v>
      </c>
      <c r="AE776" s="1">
        <f t="shared" si="771"/>
        <v>-300</v>
      </c>
      <c r="AF776" s="1">
        <f t="shared" si="772"/>
        <v>0</v>
      </c>
    </row>
    <row r="777" spans="1:32" s="2" customFormat="1" outlineLevel="1">
      <c r="A777" s="11">
        <v>92000</v>
      </c>
      <c r="B777" s="11">
        <v>22110</v>
      </c>
      <c r="C777" s="11" t="s">
        <v>251</v>
      </c>
      <c r="D777" s="7">
        <v>20000</v>
      </c>
      <c r="E777" s="7"/>
      <c r="F777" s="7">
        <f t="shared" si="759"/>
        <v>20000</v>
      </c>
      <c r="G777" s="7"/>
      <c r="H777" s="7">
        <f t="shared" si="760"/>
        <v>20000</v>
      </c>
      <c r="I777" s="1"/>
      <c r="J777" s="1">
        <f t="shared" si="774"/>
        <v>20000</v>
      </c>
      <c r="K777" s="1"/>
      <c r="L777" s="1">
        <f t="shared" si="761"/>
        <v>20000</v>
      </c>
      <c r="M777" s="7"/>
      <c r="N777" s="1">
        <f t="shared" si="762"/>
        <v>20000</v>
      </c>
      <c r="O777" s="1"/>
      <c r="P777" s="3"/>
      <c r="Q777" s="1">
        <f t="shared" si="776"/>
        <v>20000</v>
      </c>
      <c r="R777" s="3"/>
      <c r="S777" s="41">
        <v>10000</v>
      </c>
      <c r="T777" s="1">
        <f t="shared" si="766"/>
        <v>30000</v>
      </c>
      <c r="U777" s="1">
        <f t="shared" si="766"/>
        <v>30000</v>
      </c>
      <c r="V777" s="1">
        <f t="shared" si="767"/>
        <v>0</v>
      </c>
      <c r="W777" s="1">
        <f t="shared" si="768"/>
        <v>30000</v>
      </c>
      <c r="X777" s="41">
        <v>30000</v>
      </c>
      <c r="Y777" s="41">
        <f t="shared" si="775"/>
        <v>0</v>
      </c>
      <c r="Z777" s="1">
        <f t="shared" ref="Z777:Z811" si="777">W777+Y777</f>
        <v>30000</v>
      </c>
      <c r="AA777" s="41">
        <v>30000</v>
      </c>
      <c r="AB777" s="1">
        <f t="shared" si="773"/>
        <v>0</v>
      </c>
      <c r="AC777" s="1">
        <f t="shared" si="770"/>
        <v>30000</v>
      </c>
      <c r="AD777" s="41">
        <v>25000</v>
      </c>
      <c r="AE777" s="1">
        <f t="shared" si="771"/>
        <v>-5000</v>
      </c>
      <c r="AF777" s="1">
        <f t="shared" si="772"/>
        <v>25000</v>
      </c>
    </row>
    <row r="778" spans="1:32" s="2" customFormat="1" outlineLevel="1">
      <c r="A778" s="11">
        <v>92000</v>
      </c>
      <c r="B778" s="11">
        <v>22199</v>
      </c>
      <c r="C778" s="11" t="s">
        <v>232</v>
      </c>
      <c r="D778" s="7">
        <v>3769.55</v>
      </c>
      <c r="E778" s="7"/>
      <c r="F778" s="7">
        <f t="shared" si="759"/>
        <v>3769.55</v>
      </c>
      <c r="G778" s="7">
        <v>1000</v>
      </c>
      <c r="H778" s="7">
        <f t="shared" si="760"/>
        <v>4769.55</v>
      </c>
      <c r="I778" s="1"/>
      <c r="J778" s="1">
        <f t="shared" si="774"/>
        <v>4769.55</v>
      </c>
      <c r="K778" s="1"/>
      <c r="L778" s="1">
        <f t="shared" si="761"/>
        <v>4769.55</v>
      </c>
      <c r="M778" s="7"/>
      <c r="N778" s="1">
        <f t="shared" si="762"/>
        <v>4769.55</v>
      </c>
      <c r="O778" s="1"/>
      <c r="P778" s="3"/>
      <c r="Q778" s="1">
        <f t="shared" si="776"/>
        <v>4769.55</v>
      </c>
      <c r="R778" s="3"/>
      <c r="S778" s="41">
        <v>-1769.55</v>
      </c>
      <c r="T778" s="1">
        <f t="shared" si="766"/>
        <v>3000</v>
      </c>
      <c r="U778" s="1">
        <f t="shared" si="766"/>
        <v>3000</v>
      </c>
      <c r="V778" s="1">
        <f t="shared" si="767"/>
        <v>0</v>
      </c>
      <c r="W778" s="1">
        <f t="shared" si="768"/>
        <v>3000</v>
      </c>
      <c r="X778" s="41">
        <v>3000</v>
      </c>
      <c r="Y778" s="41">
        <f t="shared" si="775"/>
        <v>0</v>
      </c>
      <c r="Z778" s="1">
        <f t="shared" si="777"/>
        <v>3000</v>
      </c>
      <c r="AA778" s="41">
        <v>3000</v>
      </c>
      <c r="AB778" s="1">
        <f t="shared" si="773"/>
        <v>0</v>
      </c>
      <c r="AC778" s="1">
        <f t="shared" si="770"/>
        <v>3000</v>
      </c>
      <c r="AD778" s="41">
        <v>3000</v>
      </c>
      <c r="AE778" s="1">
        <f t="shared" si="771"/>
        <v>0</v>
      </c>
      <c r="AF778" s="1">
        <f t="shared" si="772"/>
        <v>3000</v>
      </c>
    </row>
    <row r="779" spans="1:32" s="2" customFormat="1" outlineLevel="1">
      <c r="A779" s="11">
        <v>92000</v>
      </c>
      <c r="B779" s="11">
        <v>22200</v>
      </c>
      <c r="C779" s="11" t="s">
        <v>252</v>
      </c>
      <c r="D779" s="7">
        <v>175424</v>
      </c>
      <c r="E779" s="7"/>
      <c r="F779" s="7">
        <f t="shared" si="759"/>
        <v>175424</v>
      </c>
      <c r="G779" s="7"/>
      <c r="H779" s="7">
        <f t="shared" si="760"/>
        <v>175424</v>
      </c>
      <c r="I779" s="1"/>
      <c r="J779" s="1">
        <f t="shared" si="774"/>
        <v>175424</v>
      </c>
      <c r="K779" s="1"/>
      <c r="L779" s="1">
        <f t="shared" si="761"/>
        <v>175424</v>
      </c>
      <c r="M779" s="7">
        <f>85000+65000-L779</f>
        <v>-25424</v>
      </c>
      <c r="N779" s="1">
        <f t="shared" si="762"/>
        <v>150000</v>
      </c>
      <c r="O779" s="1"/>
      <c r="P779" s="3"/>
      <c r="Q779" s="1">
        <f t="shared" si="776"/>
        <v>150000</v>
      </c>
      <c r="R779" s="41">
        <f>101640+30000</f>
        <v>131640</v>
      </c>
      <c r="S779" s="3"/>
      <c r="T779" s="1">
        <f t="shared" si="766"/>
        <v>150000</v>
      </c>
      <c r="U779" s="1">
        <v>150000</v>
      </c>
      <c r="V779" s="1">
        <f t="shared" si="767"/>
        <v>0</v>
      </c>
      <c r="W779" s="1">
        <f t="shared" si="768"/>
        <v>150000</v>
      </c>
      <c r="X779" s="41">
        <v>150000</v>
      </c>
      <c r="Y779" s="41">
        <f t="shared" si="775"/>
        <v>0</v>
      </c>
      <c r="Z779" s="1">
        <f t="shared" si="777"/>
        <v>150000</v>
      </c>
      <c r="AA779" s="41">
        <v>150000</v>
      </c>
      <c r="AB779" s="1">
        <f t="shared" si="773"/>
        <v>0</v>
      </c>
      <c r="AC779" s="1">
        <f t="shared" si="770"/>
        <v>150000</v>
      </c>
      <c r="AD779" s="41">
        <v>150000</v>
      </c>
      <c r="AE779" s="1">
        <f t="shared" si="771"/>
        <v>0</v>
      </c>
      <c r="AF779" s="1">
        <f t="shared" si="772"/>
        <v>150000</v>
      </c>
    </row>
    <row r="780" spans="1:32" outlineLevel="2">
      <c r="A780" s="11">
        <v>92000</v>
      </c>
      <c r="B780" s="11">
        <v>22201</v>
      </c>
      <c r="C780" s="11" t="s">
        <v>253</v>
      </c>
      <c r="D780" s="7">
        <v>112121.45</v>
      </c>
      <c r="E780" s="7"/>
      <c r="F780" s="7">
        <f t="shared" si="759"/>
        <v>112121.45</v>
      </c>
      <c r="G780" s="7"/>
      <c r="H780" s="7">
        <f t="shared" si="760"/>
        <v>112121.45</v>
      </c>
      <c r="I780" s="1"/>
      <c r="J780" s="1">
        <f t="shared" si="774"/>
        <v>112121.45</v>
      </c>
      <c r="K780" s="1">
        <v>13425.18</v>
      </c>
      <c r="L780" s="1">
        <f t="shared" si="761"/>
        <v>125546.63</v>
      </c>
      <c r="M780" s="7">
        <v>-25546.63</v>
      </c>
      <c r="N780" s="1">
        <f t="shared" si="762"/>
        <v>100000</v>
      </c>
      <c r="O780" s="1"/>
      <c r="P780" s="1">
        <v>-20000</v>
      </c>
      <c r="Q780" s="1">
        <f t="shared" si="776"/>
        <v>80000</v>
      </c>
      <c r="S780" s="1">
        <v>10000</v>
      </c>
      <c r="T780" s="1">
        <f t="shared" si="766"/>
        <v>90000</v>
      </c>
      <c r="U780" s="1">
        <f t="shared" si="766"/>
        <v>90000</v>
      </c>
      <c r="V780" s="1">
        <f t="shared" si="767"/>
        <v>0</v>
      </c>
      <c r="W780" s="1">
        <f t="shared" si="768"/>
        <v>90000</v>
      </c>
      <c r="X780" s="1">
        <v>90000</v>
      </c>
      <c r="Y780" s="41">
        <f t="shared" si="775"/>
        <v>0</v>
      </c>
      <c r="Z780" s="1">
        <f t="shared" si="777"/>
        <v>90000</v>
      </c>
      <c r="AA780" s="1">
        <v>90000</v>
      </c>
      <c r="AB780" s="1">
        <f t="shared" si="773"/>
        <v>0</v>
      </c>
      <c r="AC780" s="1">
        <f t="shared" si="770"/>
        <v>90000</v>
      </c>
      <c r="AD780" s="41">
        <v>90000</v>
      </c>
      <c r="AE780" s="1">
        <f t="shared" si="771"/>
        <v>0</v>
      </c>
      <c r="AF780" s="1">
        <f t="shared" si="772"/>
        <v>90000</v>
      </c>
    </row>
    <row r="781" spans="1:32" outlineLevel="2">
      <c r="A781" s="11">
        <v>92000</v>
      </c>
      <c r="B781" s="11">
        <v>22400</v>
      </c>
      <c r="C781" s="11" t="s">
        <v>254</v>
      </c>
      <c r="D781" s="7">
        <v>150000</v>
      </c>
      <c r="E781" s="7"/>
      <c r="F781" s="7">
        <f t="shared" si="759"/>
        <v>150000</v>
      </c>
      <c r="G781" s="7"/>
      <c r="H781" s="7">
        <f t="shared" si="760"/>
        <v>150000</v>
      </c>
      <c r="I781" s="1"/>
      <c r="J781" s="1">
        <f t="shared" si="774"/>
        <v>150000</v>
      </c>
      <c r="K781" s="1">
        <v>10000</v>
      </c>
      <c r="L781" s="1">
        <f t="shared" si="761"/>
        <v>160000</v>
      </c>
      <c r="M781" s="7">
        <v>25000</v>
      </c>
      <c r="N781" s="1">
        <f t="shared" si="762"/>
        <v>185000</v>
      </c>
      <c r="O781" s="1"/>
      <c r="P781" s="1">
        <v>-50000</v>
      </c>
      <c r="Q781" s="1">
        <f t="shared" si="776"/>
        <v>135000</v>
      </c>
      <c r="T781" s="1">
        <f t="shared" si="766"/>
        <v>135000</v>
      </c>
      <c r="U781" s="1">
        <f t="shared" si="766"/>
        <v>135000</v>
      </c>
      <c r="V781" s="1">
        <f t="shared" si="767"/>
        <v>0</v>
      </c>
      <c r="W781" s="1">
        <f t="shared" si="768"/>
        <v>135000</v>
      </c>
      <c r="X781" s="1">
        <v>135000</v>
      </c>
      <c r="Y781" s="41">
        <f t="shared" si="775"/>
        <v>0</v>
      </c>
      <c r="Z781" s="1">
        <f t="shared" si="777"/>
        <v>135000</v>
      </c>
      <c r="AA781" s="1">
        <v>135000</v>
      </c>
      <c r="AB781" s="1">
        <f t="shared" si="773"/>
        <v>0</v>
      </c>
      <c r="AC781" s="1">
        <f t="shared" si="770"/>
        <v>135000</v>
      </c>
      <c r="AD781" s="41">
        <v>135000</v>
      </c>
      <c r="AE781" s="1">
        <f t="shared" si="771"/>
        <v>0</v>
      </c>
      <c r="AF781" s="1">
        <f t="shared" si="772"/>
        <v>135000</v>
      </c>
    </row>
    <row r="782" spans="1:32" outlineLevel="2">
      <c r="A782" s="11">
        <v>92000</v>
      </c>
      <c r="B782" s="11">
        <v>22603</v>
      </c>
      <c r="C782" s="11" t="s">
        <v>83</v>
      </c>
      <c r="D782" s="7">
        <v>0</v>
      </c>
      <c r="E782" s="7"/>
      <c r="F782" s="7">
        <f t="shared" si="759"/>
        <v>0</v>
      </c>
      <c r="G782" s="7">
        <v>5000</v>
      </c>
      <c r="H782" s="7">
        <f t="shared" si="760"/>
        <v>5000</v>
      </c>
      <c r="I782" s="1"/>
      <c r="J782" s="1">
        <f t="shared" si="774"/>
        <v>5000</v>
      </c>
      <c r="K782" s="1"/>
      <c r="L782" s="1">
        <f t="shared" si="761"/>
        <v>5000</v>
      </c>
      <c r="N782" s="1">
        <f t="shared" si="762"/>
        <v>5000</v>
      </c>
      <c r="O782" s="1"/>
      <c r="Q782" s="1">
        <f t="shared" si="776"/>
        <v>5000</v>
      </c>
      <c r="T782" s="1">
        <f t="shared" si="766"/>
        <v>5000</v>
      </c>
      <c r="U782" s="1">
        <f t="shared" si="766"/>
        <v>5000</v>
      </c>
      <c r="V782" s="1">
        <f t="shared" si="767"/>
        <v>0</v>
      </c>
      <c r="W782" s="1">
        <f t="shared" si="768"/>
        <v>5000</v>
      </c>
      <c r="X782" s="1">
        <v>5000</v>
      </c>
      <c r="Y782" s="41">
        <f t="shared" si="775"/>
        <v>0</v>
      </c>
      <c r="Z782" s="1">
        <f t="shared" si="777"/>
        <v>5000</v>
      </c>
      <c r="AA782" s="1">
        <v>5000</v>
      </c>
      <c r="AB782" s="1">
        <f t="shared" si="773"/>
        <v>0</v>
      </c>
      <c r="AC782" s="1">
        <f t="shared" si="770"/>
        <v>5000</v>
      </c>
      <c r="AD782" s="41">
        <v>5000</v>
      </c>
      <c r="AE782" s="1">
        <f t="shared" si="771"/>
        <v>0</v>
      </c>
      <c r="AF782" s="1">
        <f t="shared" si="772"/>
        <v>5000</v>
      </c>
    </row>
    <row r="783" spans="1:32" outlineLevel="2">
      <c r="A783" s="11">
        <v>92000</v>
      </c>
      <c r="B783" s="11">
        <v>22604</v>
      </c>
      <c r="C783" s="11" t="s">
        <v>255</v>
      </c>
      <c r="D783" s="7">
        <v>125121.45</v>
      </c>
      <c r="E783" s="7"/>
      <c r="F783" s="7">
        <f t="shared" si="759"/>
        <v>125121.45</v>
      </c>
      <c r="G783" s="7">
        <v>0</v>
      </c>
      <c r="H783" s="7">
        <f t="shared" si="760"/>
        <v>125121.45</v>
      </c>
      <c r="I783" s="1"/>
      <c r="J783" s="1">
        <f t="shared" si="774"/>
        <v>125121.45</v>
      </c>
      <c r="K783" s="1">
        <v>10000</v>
      </c>
      <c r="L783" s="1">
        <f t="shared" si="761"/>
        <v>135121.45000000001</v>
      </c>
      <c r="M783" s="7">
        <f>65000-121.45+25000</f>
        <v>89878.55</v>
      </c>
      <c r="N783" s="1">
        <f t="shared" si="762"/>
        <v>225000</v>
      </c>
      <c r="O783" s="1"/>
      <c r="Q783" s="1">
        <f t="shared" si="776"/>
        <v>225000</v>
      </c>
      <c r="R783" s="1">
        <f>48400+72600+36300+100000</f>
        <v>257300</v>
      </c>
      <c r="S783" s="1">
        <v>95000</v>
      </c>
      <c r="T783" s="1">
        <f t="shared" si="766"/>
        <v>320000</v>
      </c>
      <c r="U783" s="1">
        <v>440000</v>
      </c>
      <c r="V783" s="1">
        <v>120000</v>
      </c>
      <c r="W783" s="1">
        <f t="shared" si="768"/>
        <v>440000</v>
      </c>
      <c r="X783" s="1">
        <v>440000</v>
      </c>
      <c r="Y783" s="41">
        <f t="shared" si="775"/>
        <v>0</v>
      </c>
      <c r="Z783" s="1">
        <f t="shared" si="777"/>
        <v>440000</v>
      </c>
      <c r="AA783" s="1">
        <f>72600+48400+320000</f>
        <v>441000</v>
      </c>
      <c r="AB783" s="1">
        <f t="shared" si="773"/>
        <v>1000</v>
      </c>
      <c r="AC783" s="1">
        <f t="shared" si="770"/>
        <v>441000</v>
      </c>
      <c r="AD783" s="41">
        <f>450000-16000</f>
        <v>434000</v>
      </c>
      <c r="AE783" s="1">
        <f t="shared" si="771"/>
        <v>-7000</v>
      </c>
      <c r="AF783" s="1">
        <f t="shared" si="772"/>
        <v>434000</v>
      </c>
    </row>
    <row r="784" spans="1:32" outlineLevel="2">
      <c r="A784" s="11">
        <v>92000</v>
      </c>
      <c r="B784" s="11">
        <v>22699</v>
      </c>
      <c r="C784" s="11" t="s">
        <v>85</v>
      </c>
      <c r="D784" s="7">
        <v>2827.16</v>
      </c>
      <c r="E784" s="7"/>
      <c r="F784" s="7">
        <f t="shared" si="759"/>
        <v>2827.16</v>
      </c>
      <c r="G784" s="7"/>
      <c r="H784" s="7">
        <f t="shared" si="760"/>
        <v>2827.16</v>
      </c>
      <c r="I784" s="1"/>
      <c r="J784" s="1">
        <f t="shared" si="774"/>
        <v>2827.16</v>
      </c>
      <c r="K784" s="1"/>
      <c r="L784" s="1">
        <f t="shared" si="761"/>
        <v>2827.16</v>
      </c>
      <c r="N784" s="1">
        <f t="shared" si="762"/>
        <v>2827.16</v>
      </c>
      <c r="O784" s="1"/>
      <c r="Q784" s="1">
        <f t="shared" si="776"/>
        <v>2827.16</v>
      </c>
      <c r="S784" s="1">
        <v>2174.66</v>
      </c>
      <c r="T784" s="1">
        <f t="shared" si="766"/>
        <v>5001.82</v>
      </c>
      <c r="U784" s="1">
        <f t="shared" si="766"/>
        <v>5001.82</v>
      </c>
      <c r="V784" s="1">
        <f t="shared" si="767"/>
        <v>0</v>
      </c>
      <c r="W784" s="1">
        <f t="shared" si="768"/>
        <v>5001.82</v>
      </c>
      <c r="X784" s="1">
        <f>20000</f>
        <v>20000</v>
      </c>
      <c r="Y784" s="41">
        <f>X784-W784</f>
        <v>14998.18</v>
      </c>
      <c r="Z784" s="1">
        <f t="shared" si="777"/>
        <v>20000</v>
      </c>
      <c r="AA784" s="1">
        <f>50000+20000</f>
        <v>70000</v>
      </c>
      <c r="AB784" s="1">
        <f t="shared" si="773"/>
        <v>50000</v>
      </c>
      <c r="AC784" s="1">
        <f t="shared" si="770"/>
        <v>70000</v>
      </c>
      <c r="AD784" s="41">
        <v>70000</v>
      </c>
      <c r="AE784" s="1">
        <f t="shared" si="771"/>
        <v>0</v>
      </c>
      <c r="AF784" s="1">
        <f t="shared" si="772"/>
        <v>70000</v>
      </c>
    </row>
    <row r="785" spans="1:32" outlineLevel="2">
      <c r="A785" s="11">
        <v>92000</v>
      </c>
      <c r="B785" s="11">
        <v>22700</v>
      </c>
      <c r="C785" s="11" t="s">
        <v>533</v>
      </c>
      <c r="D785" s="7">
        <v>75000</v>
      </c>
      <c r="E785" s="7"/>
      <c r="F785" s="7">
        <f t="shared" si="759"/>
        <v>75000</v>
      </c>
      <c r="G785" s="7"/>
      <c r="H785" s="7">
        <f t="shared" si="760"/>
        <v>75000</v>
      </c>
      <c r="I785" s="1"/>
      <c r="J785" s="1">
        <f t="shared" si="774"/>
        <v>75000</v>
      </c>
      <c r="K785" s="1">
        <v>89583.039999999994</v>
      </c>
      <c r="L785" s="1">
        <f t="shared" si="761"/>
        <v>164583.03999999998</v>
      </c>
      <c r="N785" s="1">
        <f t="shared" si="762"/>
        <v>164583.03999999998</v>
      </c>
      <c r="O785" s="1"/>
      <c r="P785" s="1">
        <v>115000</v>
      </c>
      <c r="Q785" s="1">
        <f t="shared" si="776"/>
        <v>279583.03999999998</v>
      </c>
      <c r="R785" s="1">
        <f>29375.57*12</f>
        <v>352506.83999999997</v>
      </c>
      <c r="S785" s="1">
        <f>R785-Q785</f>
        <v>72923.799999999988</v>
      </c>
      <c r="T785" s="1">
        <f t="shared" si="766"/>
        <v>352506.83999999997</v>
      </c>
      <c r="U785" s="1">
        <v>352506.84</v>
      </c>
      <c r="V785" s="1">
        <f t="shared" si="767"/>
        <v>0</v>
      </c>
      <c r="W785" s="1">
        <f t="shared" si="768"/>
        <v>352506.83999999997</v>
      </c>
      <c r="X785" s="1">
        <v>352506.84</v>
      </c>
      <c r="Y785" s="41">
        <f t="shared" si="775"/>
        <v>0</v>
      </c>
      <c r="Z785" s="1">
        <f t="shared" si="777"/>
        <v>352506.83999999997</v>
      </c>
      <c r="AA785" s="1">
        <v>352506.84</v>
      </c>
      <c r="AB785" s="1">
        <f t="shared" si="773"/>
        <v>0</v>
      </c>
      <c r="AC785" s="1">
        <f t="shared" si="770"/>
        <v>352506.83999999997</v>
      </c>
      <c r="AD785" s="41">
        <v>355000</v>
      </c>
      <c r="AE785" s="1">
        <f t="shared" si="771"/>
        <v>2493.1600000000326</v>
      </c>
      <c r="AF785" s="1">
        <f t="shared" si="772"/>
        <v>355000</v>
      </c>
    </row>
    <row r="786" spans="1:32" outlineLevel="2">
      <c r="A786" s="11">
        <v>92000</v>
      </c>
      <c r="B786" s="11">
        <v>22706</v>
      </c>
      <c r="C786" s="42" t="s">
        <v>903</v>
      </c>
      <c r="D786" s="7">
        <v>52000</v>
      </c>
      <c r="E786" s="7"/>
      <c r="F786" s="7">
        <f t="shared" si="759"/>
        <v>52000</v>
      </c>
      <c r="G786" s="7"/>
      <c r="H786" s="7">
        <f t="shared" si="760"/>
        <v>52000</v>
      </c>
      <c r="I786" s="1"/>
      <c r="J786" s="1">
        <f t="shared" si="774"/>
        <v>52000</v>
      </c>
      <c r="K786" s="1"/>
      <c r="L786" s="1">
        <f t="shared" si="761"/>
        <v>52000</v>
      </c>
      <c r="M786" s="10">
        <v>-20000</v>
      </c>
      <c r="N786" s="1">
        <f t="shared" si="762"/>
        <v>32000</v>
      </c>
      <c r="O786" s="1"/>
      <c r="Q786" s="1">
        <f t="shared" si="776"/>
        <v>32000</v>
      </c>
      <c r="R786" s="1">
        <v>50000</v>
      </c>
      <c r="S786" s="1">
        <f>R786-Q786</f>
        <v>18000</v>
      </c>
      <c r="T786" s="1">
        <f t="shared" si="766"/>
        <v>50000</v>
      </c>
      <c r="U786" s="1">
        <v>50000</v>
      </c>
      <c r="V786" s="1">
        <f t="shared" si="767"/>
        <v>0</v>
      </c>
      <c r="W786" s="1">
        <f t="shared" si="768"/>
        <v>50000</v>
      </c>
      <c r="X786" s="1">
        <f>(84000*1.21)+25000</f>
        <v>126640</v>
      </c>
      <c r="Y786" s="41">
        <f t="shared" si="775"/>
        <v>76640</v>
      </c>
      <c r="Z786" s="1">
        <f t="shared" si="777"/>
        <v>126640</v>
      </c>
      <c r="AA786" s="1">
        <f>126640-18000-18000</f>
        <v>90640</v>
      </c>
      <c r="AB786" s="1">
        <f t="shared" si="773"/>
        <v>-36000</v>
      </c>
      <c r="AC786" s="1">
        <f t="shared" si="770"/>
        <v>90640</v>
      </c>
      <c r="AD786" s="41">
        <v>40000</v>
      </c>
      <c r="AE786" s="1">
        <f t="shared" si="771"/>
        <v>-50640</v>
      </c>
      <c r="AF786" s="1">
        <f t="shared" si="772"/>
        <v>40000</v>
      </c>
    </row>
    <row r="787" spans="1:32" outlineLevel="2">
      <c r="A787" s="11">
        <v>92000</v>
      </c>
      <c r="B787" s="11">
        <v>23020</v>
      </c>
      <c r="C787" s="11" t="s">
        <v>258</v>
      </c>
      <c r="D787" s="7">
        <v>1202.02</v>
      </c>
      <c r="E787" s="7"/>
      <c r="F787" s="7">
        <f t="shared" si="759"/>
        <v>1202.02</v>
      </c>
      <c r="G787" s="7"/>
      <c r="H787" s="7">
        <f t="shared" si="760"/>
        <v>1202.02</v>
      </c>
      <c r="I787" s="1"/>
      <c r="J787" s="1">
        <f t="shared" si="774"/>
        <v>1202.02</v>
      </c>
      <c r="K787" s="1"/>
      <c r="L787" s="1">
        <f t="shared" si="761"/>
        <v>1202.02</v>
      </c>
      <c r="N787" s="1">
        <f t="shared" si="762"/>
        <v>1202.02</v>
      </c>
      <c r="O787" s="1"/>
      <c r="Q787" s="1">
        <f t="shared" si="776"/>
        <v>1202.02</v>
      </c>
      <c r="T787" s="1">
        <f t="shared" si="766"/>
        <v>1202.02</v>
      </c>
      <c r="U787" s="1">
        <f t="shared" si="766"/>
        <v>1202.02</v>
      </c>
      <c r="V787" s="1">
        <f t="shared" si="767"/>
        <v>0</v>
      </c>
      <c r="W787" s="1">
        <f t="shared" si="768"/>
        <v>1202.02</v>
      </c>
      <c r="X787" s="1">
        <v>1000</v>
      </c>
      <c r="Y787" s="41">
        <f t="shared" si="775"/>
        <v>-202.01999999999998</v>
      </c>
      <c r="Z787" s="1">
        <f t="shared" si="777"/>
        <v>1000</v>
      </c>
      <c r="AA787" s="1">
        <v>500</v>
      </c>
      <c r="AB787" s="1">
        <f t="shared" si="773"/>
        <v>-500</v>
      </c>
      <c r="AC787" s="1">
        <f t="shared" si="770"/>
        <v>500</v>
      </c>
      <c r="AD787" s="41">
        <v>500</v>
      </c>
      <c r="AE787" s="1">
        <f t="shared" si="771"/>
        <v>0</v>
      </c>
      <c r="AF787" s="1">
        <f t="shared" si="772"/>
        <v>500</v>
      </c>
    </row>
    <row r="788" spans="1:32" outlineLevel="2">
      <c r="A788" s="11">
        <v>92000</v>
      </c>
      <c r="B788" s="11">
        <v>23120</v>
      </c>
      <c r="C788" s="11" t="s">
        <v>259</v>
      </c>
      <c r="D788" s="7">
        <v>1202.02</v>
      </c>
      <c r="E788" s="7"/>
      <c r="F788" s="7">
        <f t="shared" si="759"/>
        <v>1202.02</v>
      </c>
      <c r="G788" s="7"/>
      <c r="H788" s="7">
        <f t="shared" si="760"/>
        <v>1202.02</v>
      </c>
      <c r="I788" s="1"/>
      <c r="J788" s="1">
        <f t="shared" si="774"/>
        <v>1202.02</v>
      </c>
      <c r="K788" s="1"/>
      <c r="L788" s="1">
        <f t="shared" si="761"/>
        <v>1202.02</v>
      </c>
      <c r="N788" s="1">
        <f t="shared" si="762"/>
        <v>1202.02</v>
      </c>
      <c r="O788" s="1"/>
      <c r="Q788" s="1">
        <f t="shared" si="776"/>
        <v>1202.02</v>
      </c>
      <c r="T788" s="1">
        <f t="shared" si="766"/>
        <v>1202.02</v>
      </c>
      <c r="U788" s="1">
        <f t="shared" si="766"/>
        <v>1202.02</v>
      </c>
      <c r="V788" s="1">
        <f t="shared" si="767"/>
        <v>0</v>
      </c>
      <c r="W788" s="1">
        <f t="shared" si="768"/>
        <v>1202.02</v>
      </c>
      <c r="X788" s="1">
        <v>1000</v>
      </c>
      <c r="Y788" s="41">
        <f t="shared" si="775"/>
        <v>-202.01999999999998</v>
      </c>
      <c r="Z788" s="1">
        <f t="shared" si="777"/>
        <v>1000</v>
      </c>
      <c r="AA788" s="1">
        <v>1200</v>
      </c>
      <c r="AB788" s="1">
        <f t="shared" si="773"/>
        <v>200</v>
      </c>
      <c r="AC788" s="1">
        <f t="shared" si="770"/>
        <v>1200</v>
      </c>
      <c r="AD788" s="41">
        <v>1200</v>
      </c>
      <c r="AE788" s="1">
        <f t="shared" si="771"/>
        <v>0</v>
      </c>
      <c r="AF788" s="1">
        <f t="shared" si="772"/>
        <v>1200</v>
      </c>
    </row>
    <row r="789" spans="1:32" outlineLevel="2">
      <c r="A789" s="11">
        <v>92000</v>
      </c>
      <c r="B789" s="11">
        <v>46700</v>
      </c>
      <c r="C789" s="39" t="s">
        <v>741</v>
      </c>
      <c r="D789" s="7"/>
      <c r="E789" s="7"/>
      <c r="F789" s="7"/>
      <c r="G789" s="7"/>
      <c r="H789" s="7"/>
      <c r="I789" s="1"/>
      <c r="J789" s="1"/>
      <c r="K789" s="1"/>
      <c r="L789" s="1"/>
      <c r="N789" s="1"/>
      <c r="O789" s="1"/>
      <c r="T789" s="1">
        <v>0</v>
      </c>
      <c r="U789" s="1">
        <v>8821.99</v>
      </c>
      <c r="V789" s="1">
        <f t="shared" ref="V789" si="778">U789-T789</f>
        <v>8821.99</v>
      </c>
      <c r="W789" s="1">
        <f t="shared" ref="W789" si="779">T789+V789</f>
        <v>8821.99</v>
      </c>
      <c r="X789" s="1">
        <v>8821.99</v>
      </c>
      <c r="Y789" s="41">
        <f t="shared" si="775"/>
        <v>0</v>
      </c>
      <c r="Z789" s="1">
        <f t="shared" si="777"/>
        <v>8821.99</v>
      </c>
      <c r="AA789" s="1">
        <v>12403.89</v>
      </c>
      <c r="AB789" s="1">
        <f t="shared" si="773"/>
        <v>3581.8999999999996</v>
      </c>
      <c r="AC789" s="1">
        <f t="shared" si="770"/>
        <v>12403.89</v>
      </c>
      <c r="AD789" s="41">
        <v>24807.78</v>
      </c>
      <c r="AE789" s="1">
        <f t="shared" si="771"/>
        <v>12403.89</v>
      </c>
      <c r="AF789" s="1">
        <f t="shared" si="772"/>
        <v>24807.78</v>
      </c>
    </row>
    <row r="790" spans="1:32" outlineLevel="2">
      <c r="A790" s="11">
        <v>92000</v>
      </c>
      <c r="B790" s="11">
        <v>46701</v>
      </c>
      <c r="C790" s="39" t="s">
        <v>888</v>
      </c>
      <c r="D790" s="7"/>
      <c r="E790" s="7"/>
      <c r="F790" s="7"/>
      <c r="G790" s="7"/>
      <c r="H790" s="7"/>
      <c r="I790" s="1"/>
      <c r="J790" s="1"/>
      <c r="K790" s="1"/>
      <c r="L790" s="1"/>
      <c r="N790" s="1"/>
      <c r="O790" s="1"/>
      <c r="T790" s="1"/>
      <c r="V790" s="1"/>
      <c r="W790" s="1"/>
      <c r="Y790" s="41"/>
      <c r="Z790" s="1">
        <v>0</v>
      </c>
      <c r="AA790" s="1">
        <v>515</v>
      </c>
      <c r="AB790" s="1">
        <f t="shared" ref="AB790" si="780">AA790-Z790</f>
        <v>515</v>
      </c>
      <c r="AC790" s="1">
        <f t="shared" ref="AC790" si="781">Z790+AB790</f>
        <v>515</v>
      </c>
      <c r="AD790" s="41">
        <v>515</v>
      </c>
      <c r="AE790" s="1">
        <f t="shared" si="771"/>
        <v>0</v>
      </c>
      <c r="AF790" s="1">
        <f t="shared" si="772"/>
        <v>515</v>
      </c>
    </row>
    <row r="791" spans="1:32" outlineLevel="2">
      <c r="A791" s="11">
        <v>92000</v>
      </c>
      <c r="B791" s="11">
        <v>46800</v>
      </c>
      <c r="C791" s="11" t="s">
        <v>260</v>
      </c>
      <c r="D791" s="7">
        <v>481569.2</v>
      </c>
      <c r="E791" s="7">
        <v>475927.36</v>
      </c>
      <c r="F791" s="7">
        <f t="shared" si="759"/>
        <v>5641.8400000000256</v>
      </c>
      <c r="G791" s="7">
        <v>-5641.84</v>
      </c>
      <c r="H791" s="7">
        <f t="shared" si="760"/>
        <v>475927.36</v>
      </c>
      <c r="I791" s="1">
        <v>454068.51</v>
      </c>
      <c r="J791" s="1">
        <f t="shared" si="774"/>
        <v>21858.849999999977</v>
      </c>
      <c r="K791" s="1">
        <v>-21858.85</v>
      </c>
      <c r="L791" s="1">
        <f t="shared" si="761"/>
        <v>454068.51</v>
      </c>
      <c r="M791" s="7">
        <v>25155.64</v>
      </c>
      <c r="N791" s="1">
        <f t="shared" si="762"/>
        <v>479224.15</v>
      </c>
      <c r="O791" s="1"/>
      <c r="P791" s="1">
        <f>518681.76-N791</f>
        <v>39457.609999999986</v>
      </c>
      <c r="Q791" s="1">
        <f t="shared" si="776"/>
        <v>518681.76</v>
      </c>
      <c r="R791" s="1">
        <v>565616</v>
      </c>
      <c r="S791" s="1">
        <f>R791-Q791</f>
        <v>46934.239999999991</v>
      </c>
      <c r="T791" s="1">
        <f t="shared" si="766"/>
        <v>565616</v>
      </c>
      <c r="U791" s="54">
        <v>565616</v>
      </c>
      <c r="V791" s="1">
        <f t="shared" si="767"/>
        <v>0</v>
      </c>
      <c r="W791" s="1">
        <f t="shared" si="768"/>
        <v>565616</v>
      </c>
      <c r="X791" s="1">
        <v>565616</v>
      </c>
      <c r="Y791" s="41">
        <f t="shared" si="775"/>
        <v>0</v>
      </c>
      <c r="Z791" s="1">
        <f t="shared" si="777"/>
        <v>565616</v>
      </c>
      <c r="AA791" s="1">
        <v>652094.06000000006</v>
      </c>
      <c r="AB791" s="1">
        <f t="shared" si="773"/>
        <v>86478.060000000056</v>
      </c>
      <c r="AC791" s="1">
        <f t="shared" si="770"/>
        <v>652094.06000000006</v>
      </c>
      <c r="AD791" s="41">
        <v>686456.3</v>
      </c>
      <c r="AE791" s="1">
        <f t="shared" si="771"/>
        <v>34362.239999999991</v>
      </c>
      <c r="AF791" s="1">
        <f t="shared" si="772"/>
        <v>686456.3</v>
      </c>
    </row>
    <row r="792" spans="1:32" outlineLevel="2">
      <c r="A792" s="11">
        <v>92000</v>
      </c>
      <c r="B792" s="11">
        <v>46801</v>
      </c>
      <c r="C792" s="11" t="s">
        <v>261</v>
      </c>
      <c r="D792" s="7">
        <v>290770.38</v>
      </c>
      <c r="E792" s="7">
        <v>327736.33</v>
      </c>
      <c r="F792" s="7">
        <f t="shared" si="759"/>
        <v>-36965.950000000012</v>
      </c>
      <c r="G792" s="7">
        <v>36965.949999999997</v>
      </c>
      <c r="H792" s="7">
        <f t="shared" si="760"/>
        <v>327736.33</v>
      </c>
      <c r="I792" s="1">
        <v>326801.24</v>
      </c>
      <c r="J792" s="1">
        <f t="shared" si="774"/>
        <v>935.09000000002561</v>
      </c>
      <c r="K792" s="1">
        <v>-935.09</v>
      </c>
      <c r="L792" s="1">
        <f t="shared" si="761"/>
        <v>326801.24</v>
      </c>
      <c r="M792" s="7">
        <v>7917.87</v>
      </c>
      <c r="N792" s="1">
        <f t="shared" si="762"/>
        <v>334719.11</v>
      </c>
      <c r="O792" s="1"/>
      <c r="P792" s="1">
        <f>404054.03-N792</f>
        <v>69334.920000000042</v>
      </c>
      <c r="Q792" s="1">
        <f t="shared" si="776"/>
        <v>404054.03</v>
      </c>
      <c r="R792" s="1">
        <v>390766.19</v>
      </c>
      <c r="S792" s="1">
        <f>R792-Q792</f>
        <v>-13287.840000000026</v>
      </c>
      <c r="T792" s="1">
        <f t="shared" si="766"/>
        <v>390766.19</v>
      </c>
      <c r="U792" s="54">
        <v>395306.85</v>
      </c>
      <c r="V792" s="1">
        <f t="shared" si="767"/>
        <v>4540.6599999999744</v>
      </c>
      <c r="W792" s="1">
        <f t="shared" si="768"/>
        <v>395306.85</v>
      </c>
      <c r="X792" s="1">
        <v>395306.85</v>
      </c>
      <c r="Y792" s="41">
        <f t="shared" si="775"/>
        <v>0</v>
      </c>
      <c r="Z792" s="1">
        <f t="shared" si="777"/>
        <v>395306.85</v>
      </c>
      <c r="AA792" s="1">
        <v>392642.77</v>
      </c>
      <c r="AB792" s="1">
        <f t="shared" si="773"/>
        <v>-2664.0799999999581</v>
      </c>
      <c r="AC792" s="1">
        <f t="shared" si="770"/>
        <v>392642.77</v>
      </c>
      <c r="AD792" s="41">
        <v>404106</v>
      </c>
      <c r="AE792" s="1">
        <f t="shared" si="771"/>
        <v>11463.229999999981</v>
      </c>
      <c r="AF792" s="1">
        <f t="shared" si="772"/>
        <v>404106</v>
      </c>
    </row>
    <row r="793" spans="1:32" outlineLevel="2">
      <c r="A793" s="11">
        <v>92000</v>
      </c>
      <c r="B793" s="11">
        <v>48900</v>
      </c>
      <c r="C793" s="11" t="s">
        <v>528</v>
      </c>
      <c r="D793" s="7"/>
      <c r="E793" s="7"/>
      <c r="F793" s="7"/>
      <c r="G793" s="7"/>
      <c r="H793" s="7"/>
      <c r="I793" s="1"/>
      <c r="J793" s="1"/>
      <c r="K793" s="1"/>
      <c r="L793" s="1">
        <v>0</v>
      </c>
      <c r="M793" s="7">
        <v>98665.600000000006</v>
      </c>
      <c r="N793" s="1">
        <f t="shared" si="762"/>
        <v>98665.600000000006</v>
      </c>
      <c r="O793" s="1"/>
      <c r="Q793" s="1">
        <f t="shared" si="776"/>
        <v>98665.600000000006</v>
      </c>
      <c r="R793" s="1">
        <f>70500+3500</f>
        <v>74000</v>
      </c>
      <c r="S793" s="1">
        <f>R793-Q793</f>
        <v>-24665.600000000006</v>
      </c>
      <c r="T793" s="1">
        <f t="shared" si="766"/>
        <v>74000</v>
      </c>
      <c r="U793" s="1">
        <v>74000</v>
      </c>
      <c r="V793" s="1">
        <f t="shared" si="767"/>
        <v>0</v>
      </c>
      <c r="W793" s="1">
        <f t="shared" si="768"/>
        <v>74000</v>
      </c>
      <c r="X793" s="1">
        <v>0</v>
      </c>
      <c r="Y793" s="41">
        <f t="shared" si="775"/>
        <v>-74000</v>
      </c>
      <c r="Z793" s="1">
        <f t="shared" si="777"/>
        <v>0</v>
      </c>
      <c r="AA793" s="1">
        <f>18000+18000</f>
        <v>36000</v>
      </c>
      <c r="AB793" s="1">
        <f t="shared" si="773"/>
        <v>36000</v>
      </c>
      <c r="AC793" s="1">
        <f t="shared" si="770"/>
        <v>36000</v>
      </c>
      <c r="AD793" s="41">
        <v>87000</v>
      </c>
      <c r="AE793" s="1">
        <f t="shared" si="771"/>
        <v>51000</v>
      </c>
      <c r="AF793" s="1">
        <f t="shared" si="772"/>
        <v>87000</v>
      </c>
    </row>
    <row r="794" spans="1:32" outlineLevel="2">
      <c r="A794" s="11">
        <v>92000</v>
      </c>
      <c r="B794" s="11">
        <v>62300</v>
      </c>
      <c r="C794" s="39" t="s">
        <v>919</v>
      </c>
      <c r="D794" s="7"/>
      <c r="E794" s="7"/>
      <c r="F794" s="7"/>
      <c r="G794" s="7"/>
      <c r="H794" s="7"/>
      <c r="I794" s="1"/>
      <c r="J794" s="1"/>
      <c r="K794" s="1"/>
      <c r="L794" s="1"/>
      <c r="N794" s="1"/>
      <c r="O794" s="1"/>
      <c r="T794" s="1"/>
      <c r="V794" s="1"/>
      <c r="W794" s="1"/>
      <c r="Y794" s="41"/>
      <c r="Z794" s="1"/>
      <c r="AB794" s="1"/>
      <c r="AC794" s="1">
        <v>0</v>
      </c>
      <c r="AD794" s="41">
        <v>60000</v>
      </c>
      <c r="AE794" s="1">
        <f t="shared" ref="AE794" si="782">AD794-AC794</f>
        <v>60000</v>
      </c>
      <c r="AF794" s="1">
        <f t="shared" ref="AF794" si="783">AC794+AE794</f>
        <v>60000</v>
      </c>
    </row>
    <row r="795" spans="1:32" outlineLevel="2">
      <c r="A795" s="11">
        <v>92000</v>
      </c>
      <c r="B795" s="11">
        <v>62500</v>
      </c>
      <c r="C795" s="39" t="s">
        <v>886</v>
      </c>
      <c r="D795" s="7"/>
      <c r="E795" s="7"/>
      <c r="F795" s="7"/>
      <c r="G795" s="7"/>
      <c r="H795" s="7"/>
      <c r="I795" s="1"/>
      <c r="J795" s="1"/>
      <c r="K795" s="1"/>
      <c r="L795" s="1"/>
      <c r="N795" s="1"/>
      <c r="O795" s="1"/>
      <c r="T795" s="1"/>
      <c r="V795" s="1"/>
      <c r="W795" s="1"/>
      <c r="Y795" s="41"/>
      <c r="Z795" s="1">
        <v>0</v>
      </c>
      <c r="AA795" s="1">
        <v>15000</v>
      </c>
      <c r="AB795" s="1">
        <f t="shared" ref="AB795:AB796" si="784">AA795-Z795</f>
        <v>15000</v>
      </c>
      <c r="AC795" s="1">
        <f t="shared" ref="AC795:AC796" si="785">Z795+AB795</f>
        <v>15000</v>
      </c>
      <c r="AD795" s="41">
        <v>0</v>
      </c>
      <c r="AE795" s="1">
        <f t="shared" si="771"/>
        <v>-15000</v>
      </c>
      <c r="AF795" s="1">
        <f t="shared" si="772"/>
        <v>0</v>
      </c>
    </row>
    <row r="796" spans="1:32" outlineLevel="2">
      <c r="A796" s="11">
        <v>92000</v>
      </c>
      <c r="B796" s="11">
        <v>63200</v>
      </c>
      <c r="C796" s="39" t="s">
        <v>887</v>
      </c>
      <c r="D796" s="7"/>
      <c r="E796" s="7"/>
      <c r="F796" s="7"/>
      <c r="G796" s="7"/>
      <c r="H796" s="7"/>
      <c r="I796" s="1"/>
      <c r="J796" s="1"/>
      <c r="K796" s="1"/>
      <c r="L796" s="1"/>
      <c r="N796" s="1"/>
      <c r="O796" s="1"/>
      <c r="T796" s="1"/>
      <c r="V796" s="1"/>
      <c r="W796" s="1"/>
      <c r="Y796" s="41"/>
      <c r="Z796" s="1">
        <v>0</v>
      </c>
      <c r="AA796" s="1">
        <v>40000</v>
      </c>
      <c r="AB796" s="1">
        <f t="shared" si="784"/>
        <v>40000</v>
      </c>
      <c r="AC796" s="1">
        <f t="shared" si="785"/>
        <v>40000</v>
      </c>
      <c r="AD796" s="41">
        <v>24634</v>
      </c>
      <c r="AE796" s="1">
        <f t="shared" si="771"/>
        <v>-15366</v>
      </c>
      <c r="AF796" s="1">
        <f t="shared" si="772"/>
        <v>24634</v>
      </c>
    </row>
    <row r="797" spans="1:32" outlineLevel="2">
      <c r="A797" s="11">
        <v>92000</v>
      </c>
      <c r="B797" s="11">
        <v>76800</v>
      </c>
      <c r="C797" s="11" t="s">
        <v>262</v>
      </c>
      <c r="D797" s="7">
        <v>5600.44</v>
      </c>
      <c r="E797" s="7">
        <v>0</v>
      </c>
      <c r="F797" s="7">
        <f t="shared" si="759"/>
        <v>5600.44</v>
      </c>
      <c r="G797" s="10">
        <v>-5600.44</v>
      </c>
      <c r="H797" s="7">
        <f t="shared" si="760"/>
        <v>0</v>
      </c>
      <c r="I797" s="1"/>
      <c r="J797" s="1">
        <f t="shared" si="774"/>
        <v>0</v>
      </c>
      <c r="K797" s="1"/>
      <c r="L797" s="1">
        <f t="shared" si="761"/>
        <v>0</v>
      </c>
      <c r="N797" s="1">
        <f t="shared" si="762"/>
        <v>0</v>
      </c>
      <c r="O797" s="1"/>
      <c r="Q797" s="1">
        <f t="shared" si="776"/>
        <v>0</v>
      </c>
      <c r="T797" s="1">
        <f t="shared" si="766"/>
        <v>0</v>
      </c>
      <c r="U797" s="54">
        <f t="shared" si="766"/>
        <v>0</v>
      </c>
      <c r="V797" s="1">
        <f t="shared" si="767"/>
        <v>0</v>
      </c>
      <c r="W797" s="1">
        <f t="shared" si="768"/>
        <v>0</v>
      </c>
      <c r="X797" s="1">
        <v>0</v>
      </c>
      <c r="Y797" s="41">
        <f t="shared" si="775"/>
        <v>0</v>
      </c>
      <c r="Z797" s="1">
        <f t="shared" si="777"/>
        <v>0</v>
      </c>
      <c r="AA797" s="1">
        <v>24342</v>
      </c>
      <c r="AB797" s="1">
        <f t="shared" si="773"/>
        <v>24342</v>
      </c>
      <c r="AC797" s="1">
        <f t="shared" si="770"/>
        <v>24342</v>
      </c>
      <c r="AD797" s="41">
        <v>0</v>
      </c>
      <c r="AE797" s="1">
        <f t="shared" si="771"/>
        <v>-24342</v>
      </c>
      <c r="AF797" s="1">
        <f t="shared" si="772"/>
        <v>0</v>
      </c>
    </row>
    <row r="798" spans="1:32" outlineLevel="2">
      <c r="A798" s="11">
        <v>92000</v>
      </c>
      <c r="B798" s="11">
        <v>76801</v>
      </c>
      <c r="C798" s="11" t="s">
        <v>263</v>
      </c>
      <c r="D798" s="7">
        <v>40000</v>
      </c>
      <c r="E798" s="7">
        <v>0</v>
      </c>
      <c r="F798" s="7">
        <f t="shared" si="759"/>
        <v>40000</v>
      </c>
      <c r="G798" s="7">
        <v>-40000</v>
      </c>
      <c r="H798" s="7">
        <f t="shared" si="760"/>
        <v>0</v>
      </c>
      <c r="I798" s="3"/>
      <c r="J798" s="1">
        <f t="shared" si="774"/>
        <v>0</v>
      </c>
      <c r="K798" s="3"/>
      <c r="L798" s="1">
        <f t="shared" si="761"/>
        <v>0</v>
      </c>
      <c r="M798" s="7">
        <v>13611.96</v>
      </c>
      <c r="N798" s="1">
        <f t="shared" si="762"/>
        <v>13611.96</v>
      </c>
      <c r="O798" s="1"/>
      <c r="Q798" s="1">
        <f t="shared" si="776"/>
        <v>13611.96</v>
      </c>
      <c r="R798" s="1">
        <v>27000</v>
      </c>
      <c r="S798" s="1">
        <f>R798-Q798</f>
        <v>13388.04</v>
      </c>
      <c r="T798" s="1">
        <f t="shared" si="766"/>
        <v>27000</v>
      </c>
      <c r="U798" s="54">
        <v>25000</v>
      </c>
      <c r="V798" s="1">
        <f t="shared" si="767"/>
        <v>-2000</v>
      </c>
      <c r="W798" s="1">
        <f t="shared" si="768"/>
        <v>25000</v>
      </c>
      <c r="X798" s="1">
        <v>25000</v>
      </c>
      <c r="Y798" s="41">
        <f t="shared" si="775"/>
        <v>0</v>
      </c>
      <c r="Z798" s="1">
        <f t="shared" si="777"/>
        <v>25000</v>
      </c>
      <c r="AA798" s="1">
        <v>60000</v>
      </c>
      <c r="AB798" s="1">
        <f t="shared" si="773"/>
        <v>35000</v>
      </c>
      <c r="AC798" s="1">
        <f t="shared" si="770"/>
        <v>60000</v>
      </c>
      <c r="AD798" s="41">
        <v>90000</v>
      </c>
      <c r="AE798" s="1">
        <f t="shared" si="771"/>
        <v>30000</v>
      </c>
      <c r="AF798" s="1">
        <f t="shared" si="772"/>
        <v>90000</v>
      </c>
    </row>
    <row r="799" spans="1:32" outlineLevel="2">
      <c r="A799" s="11">
        <v>92010</v>
      </c>
      <c r="B799" s="11">
        <v>12000</v>
      </c>
      <c r="C799" s="11" t="s">
        <v>211</v>
      </c>
      <c r="D799" s="7"/>
      <c r="E799" s="7"/>
      <c r="F799" s="7"/>
      <c r="G799" s="7"/>
      <c r="H799" s="7"/>
      <c r="I799" s="8"/>
      <c r="J799" s="7"/>
      <c r="K799" s="8"/>
      <c r="L799" s="7">
        <v>14677.32</v>
      </c>
      <c r="M799" s="7">
        <v>0</v>
      </c>
      <c r="N799" s="7">
        <f t="shared" si="762"/>
        <v>14677.32</v>
      </c>
      <c r="O799" s="7">
        <v>14677.32</v>
      </c>
      <c r="P799" s="1">
        <f t="shared" ref="P799:P804" si="786">O799-N799</f>
        <v>0</v>
      </c>
      <c r="Q799" s="1">
        <f t="shared" si="776"/>
        <v>14677.32</v>
      </c>
      <c r="R799" s="1">
        <v>14677.32</v>
      </c>
      <c r="S799" s="1">
        <f t="shared" ref="S799:S804" si="787">R799-Q799</f>
        <v>0</v>
      </c>
      <c r="T799" s="1">
        <f t="shared" si="766"/>
        <v>14677.32</v>
      </c>
      <c r="U799" s="1">
        <v>14677.32</v>
      </c>
      <c r="V799" s="1">
        <f t="shared" si="767"/>
        <v>0</v>
      </c>
      <c r="W799" s="1">
        <f t="shared" si="768"/>
        <v>14677.32</v>
      </c>
      <c r="X799" s="1">
        <v>16033.15</v>
      </c>
      <c r="Y799" s="41">
        <f t="shared" si="775"/>
        <v>1355.83</v>
      </c>
      <c r="Z799" s="1">
        <f t="shared" si="777"/>
        <v>16033.15</v>
      </c>
      <c r="AA799" s="1">
        <v>14972.45</v>
      </c>
      <c r="AB799" s="1">
        <f t="shared" si="773"/>
        <v>-1060.6999999999989</v>
      </c>
      <c r="AC799" s="1">
        <f t="shared" si="770"/>
        <v>14972.45</v>
      </c>
      <c r="AD799" s="41">
        <v>15197.15</v>
      </c>
      <c r="AE799" s="1">
        <f t="shared" si="771"/>
        <v>224.69999999999891</v>
      </c>
      <c r="AF799" s="1">
        <f t="shared" si="772"/>
        <v>15197.15</v>
      </c>
    </row>
    <row r="800" spans="1:32" outlineLevel="2">
      <c r="A800" s="11">
        <v>92010</v>
      </c>
      <c r="B800" s="11">
        <v>12003</v>
      </c>
      <c r="C800" s="11" t="s">
        <v>599</v>
      </c>
      <c r="D800" s="7"/>
      <c r="E800" s="7"/>
      <c r="F800" s="7"/>
      <c r="G800" s="7"/>
      <c r="H800" s="7"/>
      <c r="I800" s="8"/>
      <c r="J800" s="7"/>
      <c r="K800" s="8"/>
      <c r="L800" s="7">
        <v>9884.84</v>
      </c>
      <c r="M800" s="7">
        <v>0</v>
      </c>
      <c r="N800" s="7">
        <f t="shared" si="762"/>
        <v>9884.84</v>
      </c>
      <c r="O800" s="7">
        <v>9884.84</v>
      </c>
      <c r="P800" s="1">
        <f t="shared" si="786"/>
        <v>0</v>
      </c>
      <c r="Q800" s="1">
        <f t="shared" si="776"/>
        <v>9884.84</v>
      </c>
      <c r="R800" s="1">
        <v>9884.84</v>
      </c>
      <c r="S800" s="1">
        <f t="shared" si="787"/>
        <v>0</v>
      </c>
      <c r="T800" s="1">
        <f t="shared" si="766"/>
        <v>9884.84</v>
      </c>
      <c r="U800" s="1">
        <v>9884.84</v>
      </c>
      <c r="V800" s="1">
        <f t="shared" si="767"/>
        <v>0</v>
      </c>
      <c r="W800" s="1">
        <f t="shared" si="768"/>
        <v>9884.84</v>
      </c>
      <c r="X800" s="1">
        <v>10832.21</v>
      </c>
      <c r="Y800" s="41">
        <f t="shared" si="775"/>
        <v>947.36999999999898</v>
      </c>
      <c r="Z800" s="1">
        <f t="shared" si="777"/>
        <v>10832.21</v>
      </c>
      <c r="AA800" s="1">
        <v>20167.189999999999</v>
      </c>
      <c r="AB800" s="1">
        <f t="shared" si="773"/>
        <v>9334.98</v>
      </c>
      <c r="AC800" s="1">
        <f t="shared" si="770"/>
        <v>20167.189999999999</v>
      </c>
      <c r="AD800" s="41">
        <v>20470.02</v>
      </c>
      <c r="AE800" s="1">
        <f t="shared" si="771"/>
        <v>302.83000000000175</v>
      </c>
      <c r="AF800" s="1">
        <f t="shared" si="772"/>
        <v>20470.02</v>
      </c>
    </row>
    <row r="801" spans="1:32" outlineLevel="2">
      <c r="A801" s="11">
        <v>92010</v>
      </c>
      <c r="B801" s="11">
        <v>12004</v>
      </c>
      <c r="C801" s="11" t="s">
        <v>212</v>
      </c>
      <c r="D801" s="7"/>
      <c r="E801" s="7"/>
      <c r="F801" s="7"/>
      <c r="G801" s="7"/>
      <c r="H801" s="7"/>
      <c r="I801" s="8"/>
      <c r="J801" s="7"/>
      <c r="K801" s="8"/>
      <c r="L801" s="7">
        <v>8378.58</v>
      </c>
      <c r="M801" s="7">
        <v>0</v>
      </c>
      <c r="N801" s="7">
        <f t="shared" si="762"/>
        <v>8378.58</v>
      </c>
      <c r="O801" s="7">
        <v>8378.58</v>
      </c>
      <c r="P801" s="1">
        <f t="shared" si="786"/>
        <v>0</v>
      </c>
      <c r="Q801" s="1">
        <f t="shared" si="776"/>
        <v>8378.58</v>
      </c>
      <c r="R801" s="1">
        <v>8378.58</v>
      </c>
      <c r="S801" s="1">
        <f t="shared" si="787"/>
        <v>0</v>
      </c>
      <c r="T801" s="1">
        <f t="shared" si="766"/>
        <v>8378.58</v>
      </c>
      <c r="U801" s="1">
        <v>8378.58</v>
      </c>
      <c r="V801" s="1">
        <f t="shared" si="767"/>
        <v>0</v>
      </c>
      <c r="W801" s="1">
        <f t="shared" si="768"/>
        <v>8378.58</v>
      </c>
      <c r="X801" s="1">
        <v>9148.8799999999992</v>
      </c>
      <c r="Y801" s="41">
        <f t="shared" si="775"/>
        <v>770.29999999999927</v>
      </c>
      <c r="Z801" s="1">
        <f t="shared" si="777"/>
        <v>9148.8799999999992</v>
      </c>
      <c r="AA801" s="1">
        <v>8547.08</v>
      </c>
      <c r="AB801" s="1">
        <f t="shared" si="773"/>
        <v>-601.79999999999927</v>
      </c>
      <c r="AC801" s="1">
        <f t="shared" si="770"/>
        <v>8547.08</v>
      </c>
      <c r="AD801" s="41">
        <v>8675.39</v>
      </c>
      <c r="AE801" s="1">
        <f t="shared" si="771"/>
        <v>128.30999999999949</v>
      </c>
      <c r="AF801" s="1">
        <f t="shared" si="772"/>
        <v>8675.39</v>
      </c>
    </row>
    <row r="802" spans="1:32" outlineLevel="2">
      <c r="A802" s="11">
        <v>92010</v>
      </c>
      <c r="B802" s="11">
        <v>12006</v>
      </c>
      <c r="C802" s="11" t="s">
        <v>81</v>
      </c>
      <c r="D802" s="7"/>
      <c r="E802" s="7"/>
      <c r="F802" s="7"/>
      <c r="G802" s="7"/>
      <c r="H802" s="7"/>
      <c r="I802" s="8"/>
      <c r="J802" s="7"/>
      <c r="K802" s="8"/>
      <c r="L802" s="7">
        <v>7056.56</v>
      </c>
      <c r="M802" s="7">
        <v>0</v>
      </c>
      <c r="N802" s="7">
        <f t="shared" si="762"/>
        <v>7056.56</v>
      </c>
      <c r="O802" s="7">
        <v>7424.9</v>
      </c>
      <c r="P802" s="1">
        <f t="shared" si="786"/>
        <v>368.33999999999924</v>
      </c>
      <c r="Q802" s="1">
        <f t="shared" si="776"/>
        <v>7424.9</v>
      </c>
      <c r="R802" s="1">
        <v>7631.3</v>
      </c>
      <c r="S802" s="1">
        <f t="shared" si="787"/>
        <v>206.40000000000055</v>
      </c>
      <c r="T802" s="1">
        <f t="shared" si="766"/>
        <v>7631.3</v>
      </c>
      <c r="U802" s="1">
        <v>8272.6</v>
      </c>
      <c r="V802" s="1">
        <f t="shared" si="767"/>
        <v>641.30000000000018</v>
      </c>
      <c r="W802" s="1">
        <f t="shared" si="768"/>
        <v>8272.6</v>
      </c>
      <c r="X802" s="1">
        <v>8727.35</v>
      </c>
      <c r="Y802" s="41">
        <f t="shared" si="775"/>
        <v>454.75</v>
      </c>
      <c r="Z802" s="1">
        <f t="shared" si="777"/>
        <v>8727.35</v>
      </c>
      <c r="AA802" s="1">
        <v>9026.2900000000009</v>
      </c>
      <c r="AB802" s="1">
        <f t="shared" si="773"/>
        <v>298.94000000000051</v>
      </c>
      <c r="AC802" s="1">
        <f t="shared" si="770"/>
        <v>9026.2900000000009</v>
      </c>
      <c r="AD802" s="41">
        <v>6863.86</v>
      </c>
      <c r="AE802" s="1">
        <f t="shared" si="771"/>
        <v>-2162.4300000000012</v>
      </c>
      <c r="AF802" s="1">
        <f t="shared" si="772"/>
        <v>6863.86</v>
      </c>
    </row>
    <row r="803" spans="1:32" outlineLevel="2">
      <c r="A803" s="11">
        <v>92010</v>
      </c>
      <c r="B803" s="11">
        <v>12100</v>
      </c>
      <c r="C803" s="11" t="s">
        <v>209</v>
      </c>
      <c r="D803" s="7">
        <v>36938.33</v>
      </c>
      <c r="E803" s="7">
        <v>16096.36</v>
      </c>
      <c r="F803" s="7">
        <f>D803-E803</f>
        <v>20841.97</v>
      </c>
      <c r="G803" s="7">
        <v>-20841.97</v>
      </c>
      <c r="H803" s="7">
        <f>D803+G803</f>
        <v>16096.36</v>
      </c>
      <c r="I803" s="7">
        <v>18783.8</v>
      </c>
      <c r="J803" s="7">
        <f t="shared" ref="J803:J814" si="788">H803-I803</f>
        <v>-2687.4399999999987</v>
      </c>
      <c r="K803" s="7">
        <v>2687.44</v>
      </c>
      <c r="L803" s="7">
        <v>18783.8</v>
      </c>
      <c r="M803" s="7">
        <v>0</v>
      </c>
      <c r="N803" s="7">
        <f t="shared" si="762"/>
        <v>18783.8</v>
      </c>
      <c r="O803" s="7">
        <v>18783.8</v>
      </c>
      <c r="P803" s="1">
        <f t="shared" si="786"/>
        <v>0</v>
      </c>
      <c r="Q803" s="1">
        <f t="shared" si="776"/>
        <v>18783.8</v>
      </c>
      <c r="R803" s="1">
        <v>18783.8</v>
      </c>
      <c r="S803" s="1">
        <f t="shared" si="787"/>
        <v>0</v>
      </c>
      <c r="T803" s="1">
        <f t="shared" si="766"/>
        <v>18783.8</v>
      </c>
      <c r="U803" s="1">
        <v>18783.8</v>
      </c>
      <c r="V803" s="1">
        <f t="shared" si="767"/>
        <v>0</v>
      </c>
      <c r="W803" s="1">
        <f t="shared" si="768"/>
        <v>18783.8</v>
      </c>
      <c r="X803" s="1">
        <v>18971.64</v>
      </c>
      <c r="Y803" s="41">
        <f t="shared" si="775"/>
        <v>187.84000000000015</v>
      </c>
      <c r="Z803" s="1">
        <f t="shared" si="777"/>
        <v>18971.64</v>
      </c>
      <c r="AA803" s="1">
        <v>24799.71</v>
      </c>
      <c r="AB803" s="1">
        <f t="shared" si="773"/>
        <v>5828.07</v>
      </c>
      <c r="AC803" s="1">
        <f t="shared" si="770"/>
        <v>24799.71</v>
      </c>
      <c r="AD803" s="41">
        <v>25171.88</v>
      </c>
      <c r="AE803" s="1">
        <f t="shared" si="771"/>
        <v>372.17000000000189</v>
      </c>
      <c r="AF803" s="1">
        <f t="shared" si="772"/>
        <v>25171.88</v>
      </c>
    </row>
    <row r="804" spans="1:32" outlineLevel="2">
      <c r="A804" s="11">
        <v>92010</v>
      </c>
      <c r="B804" s="11">
        <v>12101</v>
      </c>
      <c r="C804" s="11" t="s">
        <v>210</v>
      </c>
      <c r="D804" s="7">
        <v>0</v>
      </c>
      <c r="E804" s="7">
        <v>20952.79</v>
      </c>
      <c r="F804" s="7">
        <f>D804-E804</f>
        <v>-20952.79</v>
      </c>
      <c r="G804" s="7">
        <v>20952.79</v>
      </c>
      <c r="H804" s="7">
        <f>D804+G804</f>
        <v>20952.79</v>
      </c>
      <c r="I804" s="7">
        <v>24784.48</v>
      </c>
      <c r="J804" s="7">
        <f t="shared" si="788"/>
        <v>-3831.6899999999987</v>
      </c>
      <c r="K804" s="7">
        <v>3831.69</v>
      </c>
      <c r="L804" s="7">
        <v>24784.48</v>
      </c>
      <c r="M804" s="7">
        <v>0</v>
      </c>
      <c r="N804" s="7">
        <f t="shared" si="762"/>
        <v>24784.48</v>
      </c>
      <c r="O804" s="7">
        <v>24784.2</v>
      </c>
      <c r="P804" s="1">
        <f t="shared" si="786"/>
        <v>-0.27999999999883585</v>
      </c>
      <c r="Q804" s="1">
        <f t="shared" si="776"/>
        <v>24784.2</v>
      </c>
      <c r="R804" s="1">
        <v>24784.2</v>
      </c>
      <c r="S804" s="1">
        <f t="shared" si="787"/>
        <v>0</v>
      </c>
      <c r="T804" s="1">
        <f t="shared" si="766"/>
        <v>24784.2</v>
      </c>
      <c r="U804" s="1">
        <v>24784.2</v>
      </c>
      <c r="V804" s="1">
        <f t="shared" si="767"/>
        <v>0</v>
      </c>
      <c r="W804" s="1">
        <f t="shared" si="768"/>
        <v>24784.2</v>
      </c>
      <c r="X804" s="1">
        <v>25032.04</v>
      </c>
      <c r="Y804" s="41">
        <f t="shared" si="775"/>
        <v>247.84000000000015</v>
      </c>
      <c r="Z804" s="1">
        <f t="shared" si="777"/>
        <v>25032.04</v>
      </c>
      <c r="AA804" s="1">
        <v>32543.4</v>
      </c>
      <c r="AB804" s="1">
        <f t="shared" si="773"/>
        <v>7511.3600000000006</v>
      </c>
      <c r="AC804" s="1">
        <f t="shared" si="770"/>
        <v>32543.4</v>
      </c>
      <c r="AD804" s="41">
        <v>33031.72</v>
      </c>
      <c r="AE804" s="1">
        <f t="shared" si="771"/>
        <v>488.31999999999971</v>
      </c>
      <c r="AF804" s="1">
        <f t="shared" si="772"/>
        <v>33031.72</v>
      </c>
    </row>
    <row r="805" spans="1:32" outlineLevel="2">
      <c r="A805" s="11">
        <v>92010</v>
      </c>
      <c r="B805" s="59">
        <v>16000</v>
      </c>
      <c r="C805" s="55" t="s">
        <v>766</v>
      </c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>
        <v>0</v>
      </c>
      <c r="U805" s="53"/>
      <c r="V805" s="1">
        <f t="shared" ref="V805" si="789">U805-T805</f>
        <v>0</v>
      </c>
      <c r="W805" s="1">
        <f t="shared" ref="W805" si="790">T805+V805</f>
        <v>0</v>
      </c>
      <c r="X805" s="1">
        <v>0</v>
      </c>
      <c r="Y805" s="41">
        <f t="shared" si="775"/>
        <v>0</v>
      </c>
      <c r="Z805" s="1">
        <f t="shared" si="777"/>
        <v>0</v>
      </c>
      <c r="AA805" s="1">
        <v>0</v>
      </c>
      <c r="AB805" s="1">
        <f t="shared" si="773"/>
        <v>0</v>
      </c>
      <c r="AC805" s="1">
        <f t="shared" si="770"/>
        <v>0</v>
      </c>
      <c r="AD805" s="41">
        <v>29679.9</v>
      </c>
      <c r="AE805" s="1">
        <f t="shared" si="771"/>
        <v>29679.9</v>
      </c>
      <c r="AF805" s="1">
        <f t="shared" si="772"/>
        <v>29679.9</v>
      </c>
    </row>
    <row r="806" spans="1:32" outlineLevel="2">
      <c r="A806" s="11">
        <v>92010</v>
      </c>
      <c r="B806" s="11">
        <v>20300</v>
      </c>
      <c r="C806" s="11" t="s">
        <v>278</v>
      </c>
      <c r="D806" s="7">
        <v>600</v>
      </c>
      <c r="E806" s="7"/>
      <c r="F806" s="7">
        <f t="shared" ref="F806:F814" si="791">D806-E806</f>
        <v>600</v>
      </c>
      <c r="G806" s="7"/>
      <c r="H806" s="7">
        <f t="shared" ref="H806:H814" si="792">D806+G806</f>
        <v>600</v>
      </c>
      <c r="I806" s="7"/>
      <c r="J806" s="7">
        <f t="shared" si="788"/>
        <v>600</v>
      </c>
      <c r="K806" s="7"/>
      <c r="L806" s="7">
        <v>600</v>
      </c>
      <c r="M806" s="7">
        <v>0</v>
      </c>
      <c r="N806" s="7">
        <f t="shared" si="762"/>
        <v>600</v>
      </c>
      <c r="O806" s="7"/>
      <c r="Q806" s="1">
        <f t="shared" si="776"/>
        <v>600</v>
      </c>
      <c r="T806" s="1">
        <f t="shared" si="766"/>
        <v>600</v>
      </c>
      <c r="U806" s="1">
        <f t="shared" si="766"/>
        <v>600</v>
      </c>
      <c r="V806" s="1">
        <f t="shared" si="767"/>
        <v>0</v>
      </c>
      <c r="W806" s="1">
        <f t="shared" si="768"/>
        <v>600</v>
      </c>
      <c r="X806" s="1">
        <v>600</v>
      </c>
      <c r="Y806" s="41">
        <f t="shared" si="775"/>
        <v>0</v>
      </c>
      <c r="Z806" s="1">
        <f t="shared" si="777"/>
        <v>600</v>
      </c>
      <c r="AA806" s="1">
        <v>300</v>
      </c>
      <c r="AB806" s="1">
        <f t="shared" si="773"/>
        <v>-300</v>
      </c>
      <c r="AC806" s="1">
        <f t="shared" si="770"/>
        <v>300</v>
      </c>
      <c r="AD806" s="41">
        <v>300</v>
      </c>
      <c r="AE806" s="1">
        <f t="shared" si="771"/>
        <v>0</v>
      </c>
      <c r="AF806" s="1">
        <f t="shared" si="772"/>
        <v>300</v>
      </c>
    </row>
    <row r="807" spans="1:32" outlineLevel="2">
      <c r="A807" s="11">
        <v>92010</v>
      </c>
      <c r="B807" s="11">
        <v>21300</v>
      </c>
      <c r="C807" s="11" t="s">
        <v>279</v>
      </c>
      <c r="D807" s="7">
        <v>2500</v>
      </c>
      <c r="E807" s="7"/>
      <c r="F807" s="7">
        <f t="shared" si="791"/>
        <v>2500</v>
      </c>
      <c r="G807" s="7"/>
      <c r="H807" s="7">
        <f t="shared" si="792"/>
        <v>2500</v>
      </c>
      <c r="I807" s="7"/>
      <c r="J807" s="7">
        <f t="shared" si="788"/>
        <v>2500</v>
      </c>
      <c r="K807" s="7"/>
      <c r="L807" s="7">
        <v>2500</v>
      </c>
      <c r="M807" s="7">
        <v>0</v>
      </c>
      <c r="N807" s="7">
        <f t="shared" si="762"/>
        <v>2500</v>
      </c>
      <c r="O807" s="7"/>
      <c r="Q807" s="1">
        <f t="shared" si="776"/>
        <v>2500</v>
      </c>
      <c r="T807" s="1">
        <f t="shared" si="766"/>
        <v>2500</v>
      </c>
      <c r="U807" s="1">
        <f t="shared" si="766"/>
        <v>2500</v>
      </c>
      <c r="V807" s="1">
        <f t="shared" si="767"/>
        <v>0</v>
      </c>
      <c r="W807" s="1">
        <f t="shared" si="768"/>
        <v>2500</v>
      </c>
      <c r="X807" s="1">
        <v>2500</v>
      </c>
      <c r="Y807" s="41">
        <f t="shared" si="775"/>
        <v>0</v>
      </c>
      <c r="Z807" s="1">
        <f t="shared" si="777"/>
        <v>2500</v>
      </c>
      <c r="AA807" s="1">
        <v>3300</v>
      </c>
      <c r="AB807" s="1">
        <f t="shared" si="773"/>
        <v>800</v>
      </c>
      <c r="AC807" s="1">
        <f t="shared" si="770"/>
        <v>3300</v>
      </c>
      <c r="AD807" s="41">
        <v>3000</v>
      </c>
      <c r="AE807" s="1">
        <f t="shared" si="771"/>
        <v>-300</v>
      </c>
      <c r="AF807" s="1">
        <f t="shared" si="772"/>
        <v>3000</v>
      </c>
    </row>
    <row r="808" spans="1:32" outlineLevel="2">
      <c r="A808" s="11">
        <v>92010</v>
      </c>
      <c r="B808" s="11">
        <v>22000</v>
      </c>
      <c r="C808" s="11" t="s">
        <v>280</v>
      </c>
      <c r="D808" s="7">
        <v>1000</v>
      </c>
      <c r="E808" s="7"/>
      <c r="F808" s="7">
        <f t="shared" si="791"/>
        <v>1000</v>
      </c>
      <c r="G808" s="7"/>
      <c r="H808" s="7">
        <f t="shared" si="792"/>
        <v>1000</v>
      </c>
      <c r="I808" s="7"/>
      <c r="J808" s="7">
        <f t="shared" si="788"/>
        <v>1000</v>
      </c>
      <c r="K808" s="7"/>
      <c r="L808" s="7">
        <v>1000</v>
      </c>
      <c r="M808" s="7">
        <v>0</v>
      </c>
      <c r="N808" s="7">
        <f t="shared" si="762"/>
        <v>1000</v>
      </c>
      <c r="O808" s="7"/>
      <c r="Q808" s="1">
        <f t="shared" si="776"/>
        <v>1000</v>
      </c>
      <c r="T808" s="1">
        <f t="shared" si="766"/>
        <v>1000</v>
      </c>
      <c r="U808" s="1">
        <f t="shared" si="766"/>
        <v>1000</v>
      </c>
      <c r="V808" s="1">
        <f t="shared" si="767"/>
        <v>0</v>
      </c>
      <c r="W808" s="1">
        <f t="shared" si="768"/>
        <v>1000</v>
      </c>
      <c r="X808" s="1">
        <v>1000</v>
      </c>
      <c r="Y808" s="41">
        <f t="shared" si="775"/>
        <v>0</v>
      </c>
      <c r="Z808" s="1">
        <f t="shared" si="777"/>
        <v>1000</v>
      </c>
      <c r="AA808" s="1">
        <v>1000</v>
      </c>
      <c r="AB808" s="1">
        <f t="shared" si="773"/>
        <v>0</v>
      </c>
      <c r="AC808" s="1">
        <f t="shared" si="770"/>
        <v>1000</v>
      </c>
      <c r="AD808" s="41">
        <v>1000</v>
      </c>
      <c r="AE808" s="1">
        <f t="shared" si="771"/>
        <v>0</v>
      </c>
      <c r="AF808" s="1">
        <f t="shared" si="772"/>
        <v>1000</v>
      </c>
    </row>
    <row r="809" spans="1:32" outlineLevel="2">
      <c r="A809" s="11">
        <v>92010</v>
      </c>
      <c r="B809" s="11">
        <v>22001</v>
      </c>
      <c r="C809" s="11" t="s">
        <v>281</v>
      </c>
      <c r="D809" s="7">
        <v>1000</v>
      </c>
      <c r="E809" s="7"/>
      <c r="F809" s="7">
        <f t="shared" si="791"/>
        <v>1000</v>
      </c>
      <c r="G809" s="7"/>
      <c r="H809" s="7">
        <f t="shared" si="792"/>
        <v>1000</v>
      </c>
      <c r="I809" s="7"/>
      <c r="J809" s="7">
        <f t="shared" si="788"/>
        <v>1000</v>
      </c>
      <c r="K809" s="7"/>
      <c r="L809" s="7">
        <v>1000</v>
      </c>
      <c r="M809" s="7">
        <v>0</v>
      </c>
      <c r="N809" s="7">
        <f t="shared" si="762"/>
        <v>1000</v>
      </c>
      <c r="O809" s="7"/>
      <c r="Q809" s="1">
        <f t="shared" ref="Q809:Q825" si="793">N809+P809</f>
        <v>1000</v>
      </c>
      <c r="T809" s="1">
        <f t="shared" si="766"/>
        <v>1000</v>
      </c>
      <c r="U809" s="1">
        <f t="shared" si="766"/>
        <v>1000</v>
      </c>
      <c r="V809" s="1">
        <f t="shared" si="767"/>
        <v>0</v>
      </c>
      <c r="W809" s="1">
        <f t="shared" si="768"/>
        <v>1000</v>
      </c>
      <c r="X809" s="1">
        <v>1000</v>
      </c>
      <c r="Y809" s="41">
        <f t="shared" si="775"/>
        <v>0</v>
      </c>
      <c r="Z809" s="1">
        <f t="shared" si="777"/>
        <v>1000</v>
      </c>
      <c r="AA809" s="1">
        <v>17000</v>
      </c>
      <c r="AB809" s="1">
        <f t="shared" si="773"/>
        <v>16000</v>
      </c>
      <c r="AC809" s="1">
        <f t="shared" si="770"/>
        <v>17000</v>
      </c>
      <c r="AD809" s="41">
        <v>10000</v>
      </c>
      <c r="AE809" s="1">
        <f t="shared" si="771"/>
        <v>-7000</v>
      </c>
      <c r="AF809" s="1">
        <f t="shared" si="772"/>
        <v>10000</v>
      </c>
    </row>
    <row r="810" spans="1:32" outlineLevel="2">
      <c r="A810" s="11">
        <v>92010</v>
      </c>
      <c r="B810" s="11">
        <v>22101</v>
      </c>
      <c r="C810" s="39" t="s">
        <v>248</v>
      </c>
      <c r="D810" s="7"/>
      <c r="E810" s="7"/>
      <c r="F810" s="7"/>
      <c r="G810" s="7"/>
      <c r="H810" s="7"/>
      <c r="I810" s="7"/>
      <c r="J810" s="7"/>
      <c r="K810" s="7"/>
      <c r="L810" s="7"/>
      <c r="N810" s="7"/>
      <c r="O810" s="7"/>
      <c r="T810" s="1"/>
      <c r="V810" s="1"/>
      <c r="W810" s="1"/>
      <c r="Y810" s="41"/>
      <c r="Z810" s="1"/>
      <c r="AB810" s="1"/>
      <c r="AC810" s="1">
        <v>0</v>
      </c>
      <c r="AD810" s="41">
        <v>100</v>
      </c>
      <c r="AE810" s="1">
        <f t="shared" ref="AE810" si="794">AD810-AC810</f>
        <v>100</v>
      </c>
      <c r="AF810" s="1">
        <f t="shared" ref="AF810" si="795">AC810+AE810</f>
        <v>100</v>
      </c>
    </row>
    <row r="811" spans="1:32" outlineLevel="2">
      <c r="A811" s="11">
        <v>92010</v>
      </c>
      <c r="B811" s="11">
        <v>22699</v>
      </c>
      <c r="C811" s="11" t="s">
        <v>283</v>
      </c>
      <c r="D811" s="7">
        <v>35000</v>
      </c>
      <c r="E811" s="7"/>
      <c r="F811" s="7">
        <f t="shared" si="791"/>
        <v>35000</v>
      </c>
      <c r="G811" s="7">
        <v>-5000</v>
      </c>
      <c r="H811" s="7">
        <f t="shared" si="792"/>
        <v>30000</v>
      </c>
      <c r="I811" s="7"/>
      <c r="J811" s="7">
        <f t="shared" si="788"/>
        <v>30000</v>
      </c>
      <c r="K811" s="7"/>
      <c r="L811" s="7">
        <v>30000</v>
      </c>
      <c r="M811" s="7">
        <v>-5000</v>
      </c>
      <c r="N811" s="7">
        <f t="shared" si="762"/>
        <v>25000</v>
      </c>
      <c r="O811" s="7"/>
      <c r="Q811" s="1">
        <f t="shared" si="793"/>
        <v>25000</v>
      </c>
      <c r="T811" s="1">
        <f t="shared" si="766"/>
        <v>25000</v>
      </c>
      <c r="U811" s="1">
        <f t="shared" si="766"/>
        <v>25000</v>
      </c>
      <c r="V811" s="1">
        <f t="shared" si="767"/>
        <v>0</v>
      </c>
      <c r="W811" s="1">
        <f t="shared" si="768"/>
        <v>25000</v>
      </c>
      <c r="X811" s="1">
        <v>25000</v>
      </c>
      <c r="Y811" s="41">
        <f t="shared" si="775"/>
        <v>0</v>
      </c>
      <c r="Z811" s="1">
        <f t="shared" si="777"/>
        <v>25000</v>
      </c>
      <c r="AA811" s="1">
        <v>21500</v>
      </c>
      <c r="AB811" s="1">
        <f t="shared" si="773"/>
        <v>-3500</v>
      </c>
      <c r="AC811" s="1">
        <f t="shared" si="770"/>
        <v>21500</v>
      </c>
      <c r="AD811" s="41">
        <v>20000</v>
      </c>
      <c r="AE811" s="1">
        <f t="shared" ref="AE811:AE825" si="796">AD811-AC811</f>
        <v>-1500</v>
      </c>
      <c r="AF811" s="1">
        <f t="shared" ref="AF811:AF825" si="797">AC811+AE811</f>
        <v>20000</v>
      </c>
    </row>
    <row r="812" spans="1:32" outlineLevel="2">
      <c r="A812" s="11">
        <v>92010</v>
      </c>
      <c r="B812" s="11">
        <v>23020</v>
      </c>
      <c r="C812" s="11" t="s">
        <v>284</v>
      </c>
      <c r="D812" s="7">
        <v>300</v>
      </c>
      <c r="E812" s="7"/>
      <c r="F812" s="7">
        <f t="shared" si="791"/>
        <v>300</v>
      </c>
      <c r="G812" s="7"/>
      <c r="H812" s="7">
        <f t="shared" si="792"/>
        <v>300</v>
      </c>
      <c r="I812" s="7"/>
      <c r="J812" s="7">
        <f t="shared" si="788"/>
        <v>300</v>
      </c>
      <c r="K812" s="7"/>
      <c r="L812" s="7">
        <v>300</v>
      </c>
      <c r="M812" s="7">
        <v>0</v>
      </c>
      <c r="N812" s="7">
        <f t="shared" si="762"/>
        <v>300</v>
      </c>
      <c r="O812" s="7"/>
      <c r="Q812" s="1">
        <f t="shared" si="793"/>
        <v>300</v>
      </c>
      <c r="T812" s="1">
        <f t="shared" si="766"/>
        <v>300</v>
      </c>
      <c r="U812" s="1">
        <f t="shared" si="766"/>
        <v>300</v>
      </c>
      <c r="V812" s="1">
        <f t="shared" si="767"/>
        <v>0</v>
      </c>
      <c r="W812" s="1">
        <f t="shared" si="768"/>
        <v>300</v>
      </c>
      <c r="X812" s="1">
        <v>300</v>
      </c>
      <c r="Y812" s="41">
        <f t="shared" si="775"/>
        <v>0</v>
      </c>
      <c r="Z812" s="1">
        <f t="shared" ref="Z812:Z825" si="798">W812+Y812</f>
        <v>300</v>
      </c>
      <c r="AA812" s="1">
        <v>300</v>
      </c>
      <c r="AB812" s="1">
        <f t="shared" si="773"/>
        <v>0</v>
      </c>
      <c r="AC812" s="1">
        <f t="shared" si="770"/>
        <v>300</v>
      </c>
      <c r="AD812" s="41">
        <v>300</v>
      </c>
      <c r="AE812" s="1">
        <f t="shared" si="796"/>
        <v>0</v>
      </c>
      <c r="AF812" s="1">
        <f t="shared" si="797"/>
        <v>300</v>
      </c>
    </row>
    <row r="813" spans="1:32" outlineLevel="2">
      <c r="A813" s="11">
        <v>92010</v>
      </c>
      <c r="B813" s="11">
        <v>23120</v>
      </c>
      <c r="C813" s="11" t="s">
        <v>285</v>
      </c>
      <c r="D813" s="7">
        <v>500</v>
      </c>
      <c r="E813" s="7"/>
      <c r="F813" s="7">
        <f t="shared" si="791"/>
        <v>500</v>
      </c>
      <c r="G813" s="7"/>
      <c r="H813" s="7">
        <f t="shared" si="792"/>
        <v>500</v>
      </c>
      <c r="I813" s="7"/>
      <c r="J813" s="7">
        <f t="shared" si="788"/>
        <v>500</v>
      </c>
      <c r="K813" s="7"/>
      <c r="L813" s="7">
        <v>500</v>
      </c>
      <c r="M813" s="7">
        <v>0</v>
      </c>
      <c r="N813" s="7">
        <f t="shared" si="762"/>
        <v>500</v>
      </c>
      <c r="O813" s="7"/>
      <c r="Q813" s="1">
        <f t="shared" si="793"/>
        <v>500</v>
      </c>
      <c r="T813" s="1">
        <f t="shared" ref="T813:U825" si="799">Q813+S813</f>
        <v>500</v>
      </c>
      <c r="U813" s="1">
        <f t="shared" si="799"/>
        <v>500</v>
      </c>
      <c r="V813" s="1">
        <f t="shared" si="767"/>
        <v>0</v>
      </c>
      <c r="W813" s="1">
        <f t="shared" si="768"/>
        <v>500</v>
      </c>
      <c r="X813" s="1">
        <v>500</v>
      </c>
      <c r="Y813" s="41">
        <f t="shared" si="775"/>
        <v>0</v>
      </c>
      <c r="Z813" s="1">
        <f t="shared" si="798"/>
        <v>500</v>
      </c>
      <c r="AA813" s="1">
        <v>500</v>
      </c>
      <c r="AB813" s="1">
        <f t="shared" si="773"/>
        <v>0</v>
      </c>
      <c r="AC813" s="1">
        <f t="shared" ref="AC813:AC825" si="800">Z813+AB813</f>
        <v>500</v>
      </c>
      <c r="AD813" s="41">
        <v>500</v>
      </c>
      <c r="AE813" s="1">
        <f t="shared" si="796"/>
        <v>0</v>
      </c>
      <c r="AF813" s="1">
        <f t="shared" si="797"/>
        <v>500</v>
      </c>
    </row>
    <row r="814" spans="1:32" outlineLevel="2">
      <c r="A814" s="11">
        <v>92010</v>
      </c>
      <c r="B814" s="11">
        <v>46300</v>
      </c>
      <c r="C814" s="11" t="s">
        <v>286</v>
      </c>
      <c r="D814" s="7">
        <v>1200</v>
      </c>
      <c r="E814" s="7">
        <v>1150</v>
      </c>
      <c r="F814" s="7">
        <f t="shared" si="791"/>
        <v>50</v>
      </c>
      <c r="G814" s="7">
        <v>-50</v>
      </c>
      <c r="H814" s="7">
        <f t="shared" si="792"/>
        <v>1150</v>
      </c>
      <c r="I814" s="7"/>
      <c r="J814" s="7">
        <f t="shared" si="788"/>
        <v>1150</v>
      </c>
      <c r="K814" s="7"/>
      <c r="L814" s="7">
        <v>1150</v>
      </c>
      <c r="M814" s="7">
        <v>0</v>
      </c>
      <c r="N814" s="7">
        <f t="shared" si="762"/>
        <v>1150</v>
      </c>
      <c r="O814" s="7"/>
      <c r="Q814" s="1">
        <f t="shared" si="793"/>
        <v>1150</v>
      </c>
      <c r="R814" s="1">
        <v>1150</v>
      </c>
      <c r="S814" s="1">
        <f>R814-Q814</f>
        <v>0</v>
      </c>
      <c r="T814" s="1">
        <f t="shared" si="799"/>
        <v>1150</v>
      </c>
      <c r="U814" s="1">
        <f t="shared" si="799"/>
        <v>2300</v>
      </c>
      <c r="V814" s="1">
        <f t="shared" ref="V814:V825" si="801">U814-T814</f>
        <v>1150</v>
      </c>
      <c r="W814" s="1">
        <f t="shared" ref="W814:W825" si="802">T814+V814</f>
        <v>2300</v>
      </c>
      <c r="X814" s="1">
        <v>2300</v>
      </c>
      <c r="Y814" s="41">
        <f t="shared" si="775"/>
        <v>0</v>
      </c>
      <c r="Z814" s="1">
        <f t="shared" si="798"/>
        <v>2300</v>
      </c>
      <c r="AA814" s="1">
        <v>1150</v>
      </c>
      <c r="AB814" s="1">
        <f t="shared" ref="AB814:AB874" si="803">AA814-Z814</f>
        <v>-1150</v>
      </c>
      <c r="AC814" s="1">
        <f t="shared" si="800"/>
        <v>1150</v>
      </c>
      <c r="AD814" s="41">
        <v>1150</v>
      </c>
      <c r="AE814" s="1">
        <f t="shared" si="796"/>
        <v>0</v>
      </c>
      <c r="AF814" s="1">
        <f t="shared" si="797"/>
        <v>1150</v>
      </c>
    </row>
    <row r="815" spans="1:32" outlineLevel="2">
      <c r="A815" s="11">
        <v>92010</v>
      </c>
      <c r="B815" s="11">
        <v>62500</v>
      </c>
      <c r="C815" s="11" t="s">
        <v>922</v>
      </c>
      <c r="D815" s="7"/>
      <c r="E815" s="7"/>
      <c r="F815" s="7"/>
      <c r="G815" s="7"/>
      <c r="H815" s="7"/>
      <c r="I815" s="8"/>
      <c r="J815" s="7"/>
      <c r="K815" s="8"/>
      <c r="L815" s="7"/>
      <c r="N815" s="7"/>
      <c r="O815" s="7"/>
      <c r="T815" s="1"/>
      <c r="V815" s="1"/>
      <c r="W815" s="1"/>
      <c r="Y815" s="41"/>
      <c r="Z815" s="1"/>
      <c r="AB815" s="1"/>
      <c r="AC815" s="1">
        <v>0</v>
      </c>
      <c r="AD815" s="41">
        <v>20000</v>
      </c>
      <c r="AE815" s="1">
        <f t="shared" ref="AE815" si="804">AD815-AC815</f>
        <v>20000</v>
      </c>
      <c r="AF815" s="1">
        <f t="shared" ref="AF815" si="805">AC815+AE815</f>
        <v>20000</v>
      </c>
    </row>
    <row r="816" spans="1:32" outlineLevel="2">
      <c r="A816" s="11">
        <v>92010</v>
      </c>
      <c r="B816" s="11">
        <v>63200</v>
      </c>
      <c r="C816" s="11" t="s">
        <v>866</v>
      </c>
      <c r="D816" s="7"/>
      <c r="E816" s="7"/>
      <c r="F816" s="7"/>
      <c r="G816" s="7"/>
      <c r="H816" s="7"/>
      <c r="I816" s="8"/>
      <c r="J816" s="7"/>
      <c r="K816" s="8"/>
      <c r="L816" s="7"/>
      <c r="N816" s="7"/>
      <c r="O816" s="7"/>
      <c r="T816" s="1"/>
      <c r="V816" s="1"/>
      <c r="W816" s="1"/>
      <c r="Y816" s="41"/>
      <c r="Z816" s="1">
        <v>0</v>
      </c>
      <c r="AA816" s="1">
        <v>35000</v>
      </c>
      <c r="AB816" s="1">
        <f t="shared" ref="AB816" si="806">AA816-Z816</f>
        <v>35000</v>
      </c>
      <c r="AC816" s="1">
        <f t="shared" ref="AC816" si="807">Z816+AB816</f>
        <v>35000</v>
      </c>
      <c r="AD816" s="41">
        <v>0</v>
      </c>
      <c r="AE816" s="1">
        <f t="shared" si="796"/>
        <v>-35000</v>
      </c>
      <c r="AF816" s="1">
        <f t="shared" si="797"/>
        <v>0</v>
      </c>
    </row>
    <row r="817" spans="1:32" outlineLevel="2">
      <c r="A817" s="11">
        <v>92020</v>
      </c>
      <c r="B817" s="11">
        <v>12001</v>
      </c>
      <c r="C817" s="11" t="s">
        <v>208</v>
      </c>
      <c r="D817" s="7">
        <v>0</v>
      </c>
      <c r="E817" s="7">
        <v>16259.51</v>
      </c>
      <c r="F817" s="7">
        <f t="shared" ref="F817:F825" si="808">D817-E817</f>
        <v>-16259.51</v>
      </c>
      <c r="G817" s="7">
        <v>16259.51</v>
      </c>
      <c r="H817" s="7">
        <f t="shared" si="760"/>
        <v>16259.51</v>
      </c>
      <c r="I817" s="7">
        <v>12906.52</v>
      </c>
      <c r="J817" s="7">
        <f t="shared" si="774"/>
        <v>3352.99</v>
      </c>
      <c r="K817" s="7">
        <v>-3352.99</v>
      </c>
      <c r="L817" s="7">
        <v>12906.52</v>
      </c>
      <c r="M817" s="7">
        <v>0</v>
      </c>
      <c r="N817" s="7">
        <f t="shared" si="762"/>
        <v>12906.52</v>
      </c>
      <c r="O817" s="7">
        <v>12906.52</v>
      </c>
      <c r="P817" s="1">
        <f>O817-N817</f>
        <v>0</v>
      </c>
      <c r="Q817" s="1">
        <f t="shared" si="793"/>
        <v>12906.52</v>
      </c>
      <c r="R817" s="1">
        <v>12906.52</v>
      </c>
      <c r="S817" s="1">
        <f>R817-Q817</f>
        <v>0</v>
      </c>
      <c r="T817" s="1">
        <f t="shared" si="799"/>
        <v>12906.52</v>
      </c>
      <c r="U817" s="1">
        <v>12906.52</v>
      </c>
      <c r="V817" s="1">
        <f t="shared" si="801"/>
        <v>0</v>
      </c>
      <c r="W817" s="1">
        <f t="shared" si="802"/>
        <v>12906.52</v>
      </c>
      <c r="X817" s="1">
        <v>13992.78</v>
      </c>
      <c r="Y817" s="41">
        <f t="shared" si="775"/>
        <v>1086.2600000000002</v>
      </c>
      <c r="Z817" s="1">
        <f t="shared" si="798"/>
        <v>13992.78</v>
      </c>
      <c r="AA817" s="1">
        <v>13165.95</v>
      </c>
      <c r="AB817" s="1">
        <f t="shared" si="803"/>
        <v>-826.82999999999993</v>
      </c>
      <c r="AC817" s="1">
        <f t="shared" si="800"/>
        <v>13165.95</v>
      </c>
      <c r="AD817" s="41">
        <v>13363.5</v>
      </c>
      <c r="AE817" s="1">
        <f t="shared" si="796"/>
        <v>197.54999999999927</v>
      </c>
      <c r="AF817" s="1">
        <f t="shared" si="797"/>
        <v>13363.5</v>
      </c>
    </row>
    <row r="818" spans="1:32" outlineLevel="2">
      <c r="A818" s="11">
        <v>92020</v>
      </c>
      <c r="B818" s="11">
        <v>12003</v>
      </c>
      <c r="C818" s="39" t="s">
        <v>945</v>
      </c>
      <c r="D818" s="7"/>
      <c r="E818" s="7"/>
      <c r="F818" s="7"/>
      <c r="G818" s="7"/>
      <c r="H818" s="7"/>
      <c r="I818" s="7"/>
      <c r="J818" s="7"/>
      <c r="K818" s="7"/>
      <c r="L818" s="7"/>
      <c r="N818" s="7"/>
      <c r="O818" s="7"/>
      <c r="T818" s="1"/>
      <c r="V818" s="1"/>
      <c r="W818" s="1"/>
      <c r="Y818" s="41"/>
      <c r="Z818" s="1"/>
      <c r="AB818" s="1"/>
      <c r="AC818" s="1">
        <v>0</v>
      </c>
      <c r="AD818" s="41">
        <v>10235.01</v>
      </c>
      <c r="AE818" s="1">
        <f t="shared" ref="AE818" si="809">AD818-AC818</f>
        <v>10235.01</v>
      </c>
      <c r="AF818" s="1">
        <f t="shared" ref="AF818" si="810">AC818+AE818</f>
        <v>10235.01</v>
      </c>
    </row>
    <row r="819" spans="1:32" outlineLevel="2">
      <c r="A819" s="11">
        <v>92020</v>
      </c>
      <c r="B819" s="11">
        <v>12006</v>
      </c>
      <c r="C819" s="11" t="s">
        <v>81</v>
      </c>
      <c r="D819" s="7">
        <v>0</v>
      </c>
      <c r="E819" s="7">
        <v>535.57000000000005</v>
      </c>
      <c r="F819" s="7">
        <f t="shared" si="808"/>
        <v>-535.57000000000005</v>
      </c>
      <c r="G819" s="7">
        <v>535.57000000000005</v>
      </c>
      <c r="H819" s="7">
        <f t="shared" si="760"/>
        <v>535.57000000000005</v>
      </c>
      <c r="I819" s="7">
        <v>973.56</v>
      </c>
      <c r="J819" s="7">
        <f t="shared" si="774"/>
        <v>-437.9899999999999</v>
      </c>
      <c r="K819" s="7">
        <v>437.99</v>
      </c>
      <c r="L819" s="7">
        <v>973.56</v>
      </c>
      <c r="M819" s="7">
        <v>0</v>
      </c>
      <c r="N819" s="7">
        <f t="shared" si="762"/>
        <v>973.56</v>
      </c>
      <c r="O819" s="7">
        <v>973.56</v>
      </c>
      <c r="P819" s="1">
        <f>O819-N819</f>
        <v>0</v>
      </c>
      <c r="Q819" s="1">
        <f t="shared" si="793"/>
        <v>973.56</v>
      </c>
      <c r="R819" s="1">
        <v>1321.26</v>
      </c>
      <c r="S819" s="1">
        <f>R819-Q819</f>
        <v>347.70000000000005</v>
      </c>
      <c r="T819" s="1">
        <f t="shared" si="799"/>
        <v>1321.26</v>
      </c>
      <c r="U819" s="1">
        <v>1460.34</v>
      </c>
      <c r="V819" s="1">
        <f t="shared" si="801"/>
        <v>139.07999999999993</v>
      </c>
      <c r="W819" s="1">
        <f t="shared" si="802"/>
        <v>1460.34</v>
      </c>
      <c r="X819" s="1">
        <v>1474.94</v>
      </c>
      <c r="Y819" s="41">
        <f t="shared" si="775"/>
        <v>14.600000000000136</v>
      </c>
      <c r="Z819" s="1">
        <f t="shared" si="798"/>
        <v>1474.94</v>
      </c>
      <c r="AA819" s="1">
        <v>1844.5</v>
      </c>
      <c r="AB819" s="1">
        <f t="shared" si="803"/>
        <v>369.55999999999995</v>
      </c>
      <c r="AC819" s="1">
        <f t="shared" si="800"/>
        <v>1844.5</v>
      </c>
      <c r="AD819" s="41">
        <v>2016.68</v>
      </c>
      <c r="AE819" s="1">
        <f t="shared" si="796"/>
        <v>172.18000000000006</v>
      </c>
      <c r="AF819" s="1">
        <f t="shared" si="797"/>
        <v>2016.68</v>
      </c>
    </row>
    <row r="820" spans="1:32" outlineLevel="2">
      <c r="A820" s="11">
        <v>92020</v>
      </c>
      <c r="B820" s="11">
        <v>12100</v>
      </c>
      <c r="C820" s="11" t="s">
        <v>206</v>
      </c>
      <c r="D820" s="7">
        <v>14189.73</v>
      </c>
      <c r="E820" s="7">
        <v>6439.82</v>
      </c>
      <c r="F820" s="7">
        <f t="shared" si="808"/>
        <v>7749.91</v>
      </c>
      <c r="G820" s="7">
        <v>-7749.91</v>
      </c>
      <c r="H820" s="7">
        <f>D820+G820</f>
        <v>6439.82</v>
      </c>
      <c r="I820" s="7">
        <v>7137.76</v>
      </c>
      <c r="J820" s="7">
        <f t="shared" si="774"/>
        <v>-697.94000000000051</v>
      </c>
      <c r="K820" s="7">
        <v>697.94</v>
      </c>
      <c r="L820" s="7">
        <v>7137.76</v>
      </c>
      <c r="M820" s="7">
        <v>0</v>
      </c>
      <c r="N820" s="7">
        <f t="shared" si="762"/>
        <v>7137.76</v>
      </c>
      <c r="O820" s="7">
        <v>7137.76</v>
      </c>
      <c r="P820" s="1">
        <f>O820-N820</f>
        <v>0</v>
      </c>
      <c r="Q820" s="1">
        <f t="shared" si="793"/>
        <v>7137.76</v>
      </c>
      <c r="R820" s="1">
        <v>7137.76</v>
      </c>
      <c r="S820" s="1">
        <f>R820-Q820</f>
        <v>0</v>
      </c>
      <c r="T820" s="1">
        <f t="shared" si="799"/>
        <v>7137.76</v>
      </c>
      <c r="U820" s="1">
        <v>7137.76</v>
      </c>
      <c r="V820" s="1">
        <f t="shared" si="801"/>
        <v>0</v>
      </c>
      <c r="W820" s="1">
        <f t="shared" si="802"/>
        <v>7137.76</v>
      </c>
      <c r="X820" s="1">
        <v>7209.14</v>
      </c>
      <c r="Y820" s="41">
        <f t="shared" si="775"/>
        <v>71.380000000000109</v>
      </c>
      <c r="Z820" s="1">
        <f t="shared" si="798"/>
        <v>7209.14</v>
      </c>
      <c r="AA820" s="1">
        <v>7803.58</v>
      </c>
      <c r="AB820" s="1">
        <f t="shared" si="803"/>
        <v>594.4399999999996</v>
      </c>
      <c r="AC820" s="1">
        <f t="shared" si="800"/>
        <v>7803.58</v>
      </c>
      <c r="AD820" s="41">
        <v>13644.27</v>
      </c>
      <c r="AE820" s="1">
        <f t="shared" si="796"/>
        <v>5840.6900000000005</v>
      </c>
      <c r="AF820" s="1">
        <f t="shared" si="797"/>
        <v>13644.27</v>
      </c>
    </row>
    <row r="821" spans="1:32" outlineLevel="2">
      <c r="A821" s="11">
        <v>92020</v>
      </c>
      <c r="B821" s="11">
        <v>12101</v>
      </c>
      <c r="C821" s="11" t="s">
        <v>207</v>
      </c>
      <c r="D821" s="7">
        <v>0</v>
      </c>
      <c r="E821" s="7">
        <v>7792.48</v>
      </c>
      <c r="F821" s="7">
        <f t="shared" si="808"/>
        <v>-7792.48</v>
      </c>
      <c r="G821" s="7">
        <v>7792.48</v>
      </c>
      <c r="H821" s="7">
        <f t="shared" ref="H821:H825" si="811">D821+G821</f>
        <v>7792.48</v>
      </c>
      <c r="I821" s="7">
        <v>8636.8799999999992</v>
      </c>
      <c r="J821" s="7">
        <f t="shared" si="774"/>
        <v>-844.39999999999964</v>
      </c>
      <c r="K821" s="7">
        <v>844.4</v>
      </c>
      <c r="L821" s="7">
        <v>8636.8799999999992</v>
      </c>
      <c r="M821" s="7">
        <v>0</v>
      </c>
      <c r="N821" s="7">
        <f t="shared" si="762"/>
        <v>8636.8799999999992</v>
      </c>
      <c r="O821" s="7">
        <v>8636.8799999999992</v>
      </c>
      <c r="P821" s="1">
        <f>O821-N821</f>
        <v>0</v>
      </c>
      <c r="Q821" s="1">
        <f t="shared" si="793"/>
        <v>8636.8799999999992</v>
      </c>
      <c r="R821" s="1">
        <v>8636.8799999999992</v>
      </c>
      <c r="S821" s="1">
        <f>R821-Q821</f>
        <v>0</v>
      </c>
      <c r="T821" s="1">
        <f t="shared" si="799"/>
        <v>8636.8799999999992</v>
      </c>
      <c r="U821" s="1">
        <v>8636.8799999999992</v>
      </c>
      <c r="V821" s="1">
        <f t="shared" si="801"/>
        <v>0</v>
      </c>
      <c r="W821" s="1">
        <f t="shared" si="802"/>
        <v>8636.8799999999992</v>
      </c>
      <c r="X821" s="1">
        <v>8723.25</v>
      </c>
      <c r="Y821" s="41">
        <f t="shared" si="775"/>
        <v>86.3700000000008</v>
      </c>
      <c r="Z821" s="1">
        <f t="shared" si="798"/>
        <v>8723.25</v>
      </c>
      <c r="AA821" s="1">
        <v>12352.7</v>
      </c>
      <c r="AB821" s="1">
        <f t="shared" si="803"/>
        <v>3629.4500000000007</v>
      </c>
      <c r="AC821" s="1">
        <f t="shared" si="800"/>
        <v>12352.7</v>
      </c>
      <c r="AD821" s="41">
        <v>19906.66</v>
      </c>
      <c r="AE821" s="1">
        <f t="shared" si="796"/>
        <v>7553.9599999999991</v>
      </c>
      <c r="AF821" s="1">
        <f t="shared" si="797"/>
        <v>19906.66</v>
      </c>
    </row>
    <row r="822" spans="1:32" outlineLevel="2">
      <c r="A822" s="11">
        <v>92020</v>
      </c>
      <c r="B822" s="19">
        <v>15000</v>
      </c>
      <c r="C822" s="19" t="s">
        <v>296</v>
      </c>
      <c r="D822" s="20">
        <v>0</v>
      </c>
      <c r="E822" s="20"/>
      <c r="F822" s="20">
        <f t="shared" si="808"/>
        <v>0</v>
      </c>
      <c r="G822" s="20">
        <v>0</v>
      </c>
      <c r="H822" s="20">
        <f t="shared" si="811"/>
        <v>0</v>
      </c>
      <c r="I822" s="20">
        <v>0</v>
      </c>
      <c r="J822" s="20">
        <f t="shared" si="774"/>
        <v>0</v>
      </c>
      <c r="K822" s="20">
        <v>0</v>
      </c>
      <c r="L822" s="7">
        <v>0</v>
      </c>
      <c r="M822" s="7">
        <v>0</v>
      </c>
      <c r="N822" s="7">
        <f t="shared" si="762"/>
        <v>0</v>
      </c>
      <c r="O822" s="7">
        <v>4000</v>
      </c>
      <c r="P822" s="1">
        <f>O822-N822</f>
        <v>4000</v>
      </c>
      <c r="Q822" s="1">
        <f t="shared" si="793"/>
        <v>4000</v>
      </c>
      <c r="R822" s="1">
        <v>4000</v>
      </c>
      <c r="S822" s="1">
        <f>R822-Q822</f>
        <v>0</v>
      </c>
      <c r="T822" s="1">
        <f t="shared" si="799"/>
        <v>4000</v>
      </c>
      <c r="U822" s="1">
        <v>4000</v>
      </c>
      <c r="V822" s="1">
        <f t="shared" si="801"/>
        <v>0</v>
      </c>
      <c r="W822" s="1">
        <f t="shared" si="802"/>
        <v>4000</v>
      </c>
      <c r="X822" s="1">
        <v>3000</v>
      </c>
      <c r="Y822" s="41">
        <f t="shared" si="775"/>
        <v>-1000</v>
      </c>
      <c r="Z822" s="1">
        <f t="shared" si="798"/>
        <v>3000</v>
      </c>
      <c r="AA822" s="1">
        <v>3100</v>
      </c>
      <c r="AB822" s="1">
        <f t="shared" si="803"/>
        <v>100</v>
      </c>
      <c r="AC822" s="1">
        <f t="shared" si="800"/>
        <v>3100</v>
      </c>
      <c r="AD822" s="41">
        <v>0</v>
      </c>
      <c r="AE822" s="1">
        <f t="shared" si="796"/>
        <v>-3100</v>
      </c>
      <c r="AF822" s="1">
        <f t="shared" si="797"/>
        <v>0</v>
      </c>
    </row>
    <row r="823" spans="1:32" outlineLevel="2">
      <c r="A823" s="11">
        <v>92020</v>
      </c>
      <c r="B823" s="59">
        <v>16000</v>
      </c>
      <c r="C823" s="55" t="s">
        <v>767</v>
      </c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>
        <v>0</v>
      </c>
      <c r="U823" s="53"/>
      <c r="V823" s="1">
        <f t="shared" si="801"/>
        <v>0</v>
      </c>
      <c r="W823" s="1">
        <f t="shared" si="802"/>
        <v>0</v>
      </c>
      <c r="X823" s="1">
        <v>0</v>
      </c>
      <c r="Y823" s="41">
        <f t="shared" si="775"/>
        <v>0</v>
      </c>
      <c r="Z823" s="1">
        <f t="shared" si="798"/>
        <v>0</v>
      </c>
      <c r="AA823" s="1">
        <v>0</v>
      </c>
      <c r="AB823" s="1">
        <f t="shared" si="803"/>
        <v>0</v>
      </c>
      <c r="AC823" s="1">
        <f t="shared" si="800"/>
        <v>0</v>
      </c>
      <c r="AD823" s="41">
        <v>18700.490000000002</v>
      </c>
      <c r="AE823" s="1">
        <f t="shared" si="796"/>
        <v>18700.490000000002</v>
      </c>
      <c r="AF823" s="1">
        <f t="shared" si="797"/>
        <v>18700.490000000002</v>
      </c>
    </row>
    <row r="824" spans="1:32" outlineLevel="2">
      <c r="A824" s="11">
        <v>92020</v>
      </c>
      <c r="B824" s="11">
        <v>22699</v>
      </c>
      <c r="C824" s="11" t="s">
        <v>298</v>
      </c>
      <c r="D824" s="7">
        <v>4000</v>
      </c>
      <c r="E824" s="7"/>
      <c r="F824" s="7">
        <f t="shared" si="808"/>
        <v>4000</v>
      </c>
      <c r="G824" s="7">
        <v>-1000</v>
      </c>
      <c r="H824" s="7">
        <f t="shared" si="811"/>
        <v>3000</v>
      </c>
      <c r="I824" s="7"/>
      <c r="J824" s="7">
        <f t="shared" si="774"/>
        <v>3000</v>
      </c>
      <c r="K824" s="7"/>
      <c r="L824" s="7">
        <v>3000</v>
      </c>
      <c r="M824" s="7">
        <v>0</v>
      </c>
      <c r="N824" s="7">
        <f t="shared" si="762"/>
        <v>3000</v>
      </c>
      <c r="O824" s="7"/>
      <c r="Q824" s="1">
        <f t="shared" si="793"/>
        <v>3000</v>
      </c>
      <c r="T824" s="1">
        <f t="shared" si="799"/>
        <v>3000</v>
      </c>
      <c r="U824" s="1">
        <f t="shared" si="799"/>
        <v>3000</v>
      </c>
      <c r="V824" s="1">
        <f t="shared" si="801"/>
        <v>0</v>
      </c>
      <c r="W824" s="1">
        <f t="shared" si="802"/>
        <v>3000</v>
      </c>
      <c r="X824" s="1">
        <v>4000</v>
      </c>
      <c r="Y824" s="41">
        <f t="shared" si="775"/>
        <v>1000</v>
      </c>
      <c r="Z824" s="1">
        <f t="shared" si="798"/>
        <v>4000</v>
      </c>
      <c r="AA824" s="1">
        <v>3000</v>
      </c>
      <c r="AB824" s="1">
        <f t="shared" si="803"/>
        <v>-1000</v>
      </c>
      <c r="AC824" s="1">
        <f t="shared" si="800"/>
        <v>3000</v>
      </c>
      <c r="AD824" s="41">
        <v>10000</v>
      </c>
      <c r="AE824" s="1">
        <f t="shared" si="796"/>
        <v>7000</v>
      </c>
      <c r="AF824" s="1">
        <f t="shared" si="797"/>
        <v>10000</v>
      </c>
    </row>
    <row r="825" spans="1:32" outlineLevel="2">
      <c r="A825" s="11">
        <v>92020</v>
      </c>
      <c r="B825" s="11">
        <v>22706</v>
      </c>
      <c r="C825" s="42" t="s">
        <v>904</v>
      </c>
      <c r="D825" s="7">
        <v>26000</v>
      </c>
      <c r="E825" s="7">
        <v>30000</v>
      </c>
      <c r="F825" s="7">
        <f t="shared" si="808"/>
        <v>-4000</v>
      </c>
      <c r="G825" s="7">
        <v>4000</v>
      </c>
      <c r="H825" s="7">
        <f t="shared" si="811"/>
        <v>30000</v>
      </c>
      <c r="I825" s="8"/>
      <c r="J825" s="7">
        <f t="shared" si="774"/>
        <v>30000</v>
      </c>
      <c r="K825" s="8"/>
      <c r="L825" s="7">
        <v>30000</v>
      </c>
      <c r="M825" s="7">
        <v>0</v>
      </c>
      <c r="N825" s="7">
        <f t="shared" si="762"/>
        <v>30000</v>
      </c>
      <c r="O825" s="7"/>
      <c r="Q825" s="1">
        <f t="shared" si="793"/>
        <v>30000</v>
      </c>
      <c r="T825" s="1">
        <f t="shared" si="799"/>
        <v>30000</v>
      </c>
      <c r="U825" s="1">
        <v>36300</v>
      </c>
      <c r="V825" s="1">
        <f t="shared" si="801"/>
        <v>6300</v>
      </c>
      <c r="W825" s="1">
        <f t="shared" si="802"/>
        <v>36300</v>
      </c>
      <c r="X825" s="1">
        <v>36300</v>
      </c>
      <c r="Y825" s="41">
        <f t="shared" si="775"/>
        <v>0</v>
      </c>
      <c r="Z825" s="1">
        <f t="shared" si="798"/>
        <v>36300</v>
      </c>
      <c r="AA825" s="1">
        <v>41000</v>
      </c>
      <c r="AB825" s="1">
        <f t="shared" si="803"/>
        <v>4700</v>
      </c>
      <c r="AC825" s="1">
        <f t="shared" si="800"/>
        <v>41000</v>
      </c>
      <c r="AD825" s="41">
        <v>41000</v>
      </c>
      <c r="AE825" s="1">
        <f t="shared" si="796"/>
        <v>0</v>
      </c>
      <c r="AF825" s="1">
        <f t="shared" si="797"/>
        <v>41000</v>
      </c>
    </row>
    <row r="826" spans="1:32" outlineLevel="2">
      <c r="A826" s="11">
        <v>92020</v>
      </c>
      <c r="B826" s="11">
        <v>23120</v>
      </c>
      <c r="C826" s="42" t="s">
        <v>927</v>
      </c>
      <c r="D826" s="7"/>
      <c r="E826" s="7"/>
      <c r="F826" s="7"/>
      <c r="G826" s="7"/>
      <c r="H826" s="7"/>
      <c r="I826" s="8"/>
      <c r="J826" s="7"/>
      <c r="K826" s="8"/>
      <c r="L826" s="7"/>
      <c r="N826" s="7"/>
      <c r="O826" s="7"/>
      <c r="T826" s="1"/>
      <c r="V826" s="1"/>
      <c r="W826" s="1"/>
      <c r="Y826" s="41"/>
      <c r="Z826" s="1"/>
      <c r="AB826" s="1"/>
      <c r="AC826" s="1">
        <v>0</v>
      </c>
      <c r="AD826" s="41">
        <v>300</v>
      </c>
      <c r="AE826" s="1">
        <f t="shared" ref="AE826" si="812">AD826-AC826</f>
        <v>300</v>
      </c>
      <c r="AF826" s="1">
        <f t="shared" ref="AF826" si="813">AC826+AE826</f>
        <v>300</v>
      </c>
    </row>
    <row r="827" spans="1:32" outlineLevel="2">
      <c r="A827" s="9" t="s">
        <v>24</v>
      </c>
      <c r="B827" s="9"/>
      <c r="C827" s="9" t="s">
        <v>51</v>
      </c>
      <c r="D827" s="8">
        <f t="shared" ref="D827:K827" si="814">SUBTOTAL(9,D751:D798)</f>
        <v>7205282.3100000015</v>
      </c>
      <c r="E827" s="8">
        <f t="shared" si="814"/>
        <v>2289127.1589655178</v>
      </c>
      <c r="F827" s="8">
        <f t="shared" si="814"/>
        <v>4916155.1510344828</v>
      </c>
      <c r="G827" s="8">
        <f t="shared" si="814"/>
        <v>241065.65000000002</v>
      </c>
      <c r="H827" s="8">
        <f t="shared" si="814"/>
        <v>7446347.9600000009</v>
      </c>
      <c r="I827" s="8">
        <f t="shared" si="814"/>
        <v>6513482.04</v>
      </c>
      <c r="J827" s="8">
        <f t="shared" si="814"/>
        <v>932865.92000000016</v>
      </c>
      <c r="K827" s="8">
        <f t="shared" si="814"/>
        <v>-15769.439999999984</v>
      </c>
      <c r="L827" s="8">
        <f t="shared" ref="L827:Q827" si="815">SUBTOTAL(9,L751:L825)</f>
        <v>7613848.8199999994</v>
      </c>
      <c r="M827" s="8">
        <f t="shared" si="815"/>
        <v>-58001.709999998908</v>
      </c>
      <c r="N827" s="8">
        <f t="shared" si="815"/>
        <v>7555847.1100000003</v>
      </c>
      <c r="O827" s="8">
        <f t="shared" si="815"/>
        <v>5509266.2800000003</v>
      </c>
      <c r="P827" s="8">
        <f t="shared" si="815"/>
        <v>67486.920000000071</v>
      </c>
      <c r="Q827" s="8">
        <f t="shared" si="815"/>
        <v>7623334.0300000003</v>
      </c>
      <c r="S827" s="8">
        <f t="shared" ref="S827:AB827" si="816">SUBTOTAL(9,S751:S825)</f>
        <v>-16477.539999999437</v>
      </c>
      <c r="T827" s="8">
        <f t="shared" si="816"/>
        <v>7606856.4900000012</v>
      </c>
      <c r="U827" s="8">
        <f t="shared" si="816"/>
        <v>7502035.3699999973</v>
      </c>
      <c r="V827" s="8">
        <f t="shared" si="816"/>
        <v>-104821.12000000283</v>
      </c>
      <c r="W827" s="8">
        <f t="shared" si="816"/>
        <v>7502035.3699999973</v>
      </c>
      <c r="X827" s="8">
        <f t="shared" si="816"/>
        <v>7539700.1730000004</v>
      </c>
      <c r="Y827" s="8">
        <f t="shared" si="816"/>
        <v>37664.80300000163</v>
      </c>
      <c r="Z827" s="8">
        <f t="shared" si="816"/>
        <v>7539700.1730000004</v>
      </c>
      <c r="AA827" s="8">
        <f t="shared" si="816"/>
        <v>7778667.0800000019</v>
      </c>
      <c r="AB827" s="8">
        <f t="shared" si="816"/>
        <v>238966.90700000015</v>
      </c>
      <c r="AC827" s="8">
        <f>SUBTOTAL(9,AC751:AC826)</f>
        <v>7778667.0800000019</v>
      </c>
      <c r="AD827" s="8">
        <f t="shared" ref="AD827:AF827" si="817">SUBTOTAL(9,AD751:AD826)</f>
        <v>4176319.6000000006</v>
      </c>
      <c r="AE827" s="8">
        <f t="shared" si="817"/>
        <v>-3602347.4800000009</v>
      </c>
      <c r="AF827" s="8">
        <f t="shared" si="817"/>
        <v>4176319.6000000006</v>
      </c>
    </row>
    <row r="828" spans="1:32" outlineLevel="2">
      <c r="A828" s="11">
        <v>92400</v>
      </c>
      <c r="B828" s="11">
        <v>12004</v>
      </c>
      <c r="C828" s="11" t="s">
        <v>205</v>
      </c>
      <c r="D828" s="7">
        <v>0</v>
      </c>
      <c r="E828" s="7">
        <v>10042.44</v>
      </c>
      <c r="F828" s="7">
        <f t="shared" ref="F828:F836" si="818">D828-E828</f>
        <v>-10042.44</v>
      </c>
      <c r="G828" s="7">
        <v>10042.44</v>
      </c>
      <c r="H828" s="7">
        <f t="shared" ref="H828:H836" si="819">D828+G828</f>
        <v>10042.44</v>
      </c>
      <c r="I828" s="1">
        <v>8378.58</v>
      </c>
      <c r="J828" s="1">
        <f t="shared" si="774"/>
        <v>1663.8600000000006</v>
      </c>
      <c r="K828" s="1">
        <v>-1663.86</v>
      </c>
      <c r="L828" s="1">
        <f t="shared" ref="L828:L836" si="820">H828+K828</f>
        <v>8378.58</v>
      </c>
      <c r="M828" s="7">
        <v>0</v>
      </c>
      <c r="N828" s="1">
        <f t="shared" ref="N828:N836" si="821">L828+M828</f>
        <v>8378.58</v>
      </c>
      <c r="O828" s="1">
        <v>8378.58</v>
      </c>
      <c r="P828" s="1">
        <f>O828-N828</f>
        <v>0</v>
      </c>
      <c r="Q828" s="1">
        <f t="shared" ref="Q828:Q836" si="822">N828+P828</f>
        <v>8378.58</v>
      </c>
      <c r="R828" s="1">
        <v>8378.58</v>
      </c>
      <c r="S828" s="1">
        <f t="shared" ref="S828:S831" si="823">R828-Q828</f>
        <v>0</v>
      </c>
      <c r="T828" s="1">
        <f t="shared" ref="T828:U836" si="824">Q828+S828</f>
        <v>8378.58</v>
      </c>
      <c r="U828" s="1">
        <v>8378.58</v>
      </c>
      <c r="V828" s="1">
        <f t="shared" ref="V828:V836" si="825">U828-T828</f>
        <v>0</v>
      </c>
      <c r="W828" s="1">
        <f t="shared" ref="W828:W836" si="826">T828+V828</f>
        <v>8378.58</v>
      </c>
      <c r="X828" s="1">
        <v>9161.75</v>
      </c>
      <c r="Y828" s="41">
        <f t="shared" si="775"/>
        <v>783.17000000000007</v>
      </c>
      <c r="Z828" s="1">
        <f t="shared" ref="Z828:Z838" si="827">W828+Y828</f>
        <v>9161.75</v>
      </c>
      <c r="AA828" s="1">
        <v>8547.08</v>
      </c>
      <c r="AB828" s="1">
        <f t="shared" si="803"/>
        <v>-614.67000000000007</v>
      </c>
      <c r="AC828" s="1">
        <f t="shared" ref="AC828:AC838" si="828">Z828+AB828</f>
        <v>8547.08</v>
      </c>
      <c r="AD828" s="41">
        <v>8675.39</v>
      </c>
      <c r="AE828" s="1">
        <f t="shared" ref="AE828:AE838" si="829">AD828-AC828</f>
        <v>128.30999999999949</v>
      </c>
      <c r="AF828" s="1">
        <f t="shared" ref="AF828:AF838" si="830">AC828+AE828</f>
        <v>8675.39</v>
      </c>
    </row>
    <row r="829" spans="1:32" outlineLevel="2">
      <c r="A829" s="11">
        <v>92400</v>
      </c>
      <c r="B829" s="11">
        <v>12006</v>
      </c>
      <c r="C829" s="11" t="s">
        <v>81</v>
      </c>
      <c r="D829" s="7">
        <v>0</v>
      </c>
      <c r="E829" s="7">
        <v>643.65</v>
      </c>
      <c r="F829" s="7">
        <f t="shared" si="818"/>
        <v>-643.65</v>
      </c>
      <c r="G829" s="7">
        <v>643.65</v>
      </c>
      <c r="H829" s="7">
        <f t="shared" si="819"/>
        <v>643.65</v>
      </c>
      <c r="I829" s="1">
        <v>751.8</v>
      </c>
      <c r="J829" s="1">
        <f t="shared" si="774"/>
        <v>-108.14999999999998</v>
      </c>
      <c r="K829" s="1">
        <v>108.15</v>
      </c>
      <c r="L829" s="1">
        <f t="shared" si="820"/>
        <v>751.8</v>
      </c>
      <c r="M829" s="7">
        <v>0</v>
      </c>
      <c r="N829" s="1">
        <f t="shared" si="821"/>
        <v>751.8</v>
      </c>
      <c r="O829" s="1">
        <v>823.4</v>
      </c>
      <c r="P829" s="1">
        <f>O829-N829</f>
        <v>71.600000000000023</v>
      </c>
      <c r="Q829" s="1">
        <f t="shared" si="822"/>
        <v>823.4</v>
      </c>
      <c r="R829" s="1">
        <v>751.8</v>
      </c>
      <c r="S829" s="1">
        <f t="shared" si="823"/>
        <v>-71.600000000000023</v>
      </c>
      <c r="T829" s="1">
        <f t="shared" si="824"/>
        <v>751.8</v>
      </c>
      <c r="U829" s="1">
        <v>1002.4</v>
      </c>
      <c r="V829" s="1">
        <f t="shared" si="825"/>
        <v>250.60000000000002</v>
      </c>
      <c r="W829" s="1">
        <f t="shared" si="826"/>
        <v>1002.4</v>
      </c>
      <c r="X829" s="1">
        <v>1084.74</v>
      </c>
      <c r="Y829" s="41">
        <f t="shared" si="775"/>
        <v>82.340000000000032</v>
      </c>
      <c r="Z829" s="1">
        <f t="shared" si="827"/>
        <v>1084.74</v>
      </c>
      <c r="AA829" s="1">
        <v>1278.26</v>
      </c>
      <c r="AB829" s="1">
        <f t="shared" si="803"/>
        <v>193.51999999999998</v>
      </c>
      <c r="AC829" s="1">
        <f t="shared" si="828"/>
        <v>1278.26</v>
      </c>
      <c r="AD829" s="41">
        <v>1298.08</v>
      </c>
      <c r="AE829" s="1">
        <f t="shared" si="829"/>
        <v>19.819999999999936</v>
      </c>
      <c r="AF829" s="1">
        <f t="shared" si="830"/>
        <v>1298.08</v>
      </c>
    </row>
    <row r="830" spans="1:32" outlineLevel="2">
      <c r="A830" s="11">
        <v>92400</v>
      </c>
      <c r="B830" s="11">
        <v>12100</v>
      </c>
      <c r="C830" s="11" t="s">
        <v>203</v>
      </c>
      <c r="D830" s="7">
        <v>9121.1</v>
      </c>
      <c r="E830" s="7">
        <v>4135.8500000000004</v>
      </c>
      <c r="F830" s="7">
        <f>D830-E830</f>
        <v>4985.25</v>
      </c>
      <c r="G830" s="7">
        <v>-4985.25</v>
      </c>
      <c r="H830" s="7">
        <f>D830+G830</f>
        <v>4135.8500000000004</v>
      </c>
      <c r="I830" s="1">
        <v>4584.16</v>
      </c>
      <c r="J830" s="1">
        <f t="shared" si="774"/>
        <v>-448.30999999999949</v>
      </c>
      <c r="K830" s="1">
        <v>448.31</v>
      </c>
      <c r="L830" s="1">
        <f t="shared" si="820"/>
        <v>4584.1600000000008</v>
      </c>
      <c r="M830" s="7">
        <v>0</v>
      </c>
      <c r="N830" s="1">
        <f t="shared" si="821"/>
        <v>4584.1600000000008</v>
      </c>
      <c r="O830" s="1">
        <v>4584.16</v>
      </c>
      <c r="P830" s="1">
        <f>O830-N830</f>
        <v>0</v>
      </c>
      <c r="Q830" s="1">
        <f t="shared" si="822"/>
        <v>4584.1600000000008</v>
      </c>
      <c r="R830" s="1">
        <v>4584.16</v>
      </c>
      <c r="S830" s="1">
        <f t="shared" si="823"/>
        <v>0</v>
      </c>
      <c r="T830" s="1">
        <f t="shared" si="824"/>
        <v>4584.1600000000008</v>
      </c>
      <c r="U830" s="1">
        <v>4584.16</v>
      </c>
      <c r="V830" s="1">
        <f t="shared" si="825"/>
        <v>0</v>
      </c>
      <c r="W830" s="1">
        <f t="shared" si="826"/>
        <v>4584.1600000000008</v>
      </c>
      <c r="X830" s="1">
        <v>4630</v>
      </c>
      <c r="Y830" s="41">
        <f t="shared" si="775"/>
        <v>45.839999999999236</v>
      </c>
      <c r="Z830" s="1">
        <f t="shared" si="827"/>
        <v>4630</v>
      </c>
      <c r="AA830" s="1">
        <v>4676.38</v>
      </c>
      <c r="AB830" s="1">
        <f t="shared" si="803"/>
        <v>46.380000000000109</v>
      </c>
      <c r="AC830" s="1">
        <f t="shared" si="828"/>
        <v>4676.38</v>
      </c>
      <c r="AD830" s="41">
        <v>4746.57</v>
      </c>
      <c r="AE830" s="1">
        <f t="shared" si="829"/>
        <v>70.1899999999996</v>
      </c>
      <c r="AF830" s="1">
        <f t="shared" si="830"/>
        <v>4746.57</v>
      </c>
    </row>
    <row r="831" spans="1:32" outlineLevel="2">
      <c r="A831" s="11">
        <v>92400</v>
      </c>
      <c r="B831" s="11">
        <v>12101</v>
      </c>
      <c r="C831" s="11" t="s">
        <v>204</v>
      </c>
      <c r="D831" s="7">
        <v>0</v>
      </c>
      <c r="E831" s="7">
        <v>5013.4799999999996</v>
      </c>
      <c r="F831" s="7">
        <f t="shared" si="818"/>
        <v>-5013.4799999999996</v>
      </c>
      <c r="G831" s="7">
        <v>5013.4799999999996</v>
      </c>
      <c r="H831" s="7">
        <f t="shared" si="819"/>
        <v>5013.4799999999996</v>
      </c>
      <c r="I831" s="1">
        <v>5556.88</v>
      </c>
      <c r="J831" s="1">
        <f t="shared" si="774"/>
        <v>-543.40000000000055</v>
      </c>
      <c r="K831" s="1">
        <v>543.4</v>
      </c>
      <c r="L831" s="1">
        <f t="shared" si="820"/>
        <v>5556.8799999999992</v>
      </c>
      <c r="M831" s="7">
        <v>0</v>
      </c>
      <c r="N831" s="1">
        <f t="shared" si="821"/>
        <v>5556.8799999999992</v>
      </c>
      <c r="O831" s="1">
        <v>5556.88</v>
      </c>
      <c r="P831" s="1">
        <f>O831-N831</f>
        <v>0</v>
      </c>
      <c r="Q831" s="1">
        <f t="shared" si="822"/>
        <v>5556.8799999999992</v>
      </c>
      <c r="R831" s="1">
        <v>5556.88</v>
      </c>
      <c r="S831" s="1">
        <f t="shared" si="823"/>
        <v>0</v>
      </c>
      <c r="T831" s="1">
        <f t="shared" si="824"/>
        <v>5556.8799999999992</v>
      </c>
      <c r="U831" s="1">
        <v>5556.88</v>
      </c>
      <c r="V831" s="1">
        <f t="shared" si="825"/>
        <v>0</v>
      </c>
      <c r="W831" s="1">
        <f t="shared" si="826"/>
        <v>5556.8799999999992</v>
      </c>
      <c r="X831" s="1">
        <v>5612.45</v>
      </c>
      <c r="Y831" s="41">
        <f t="shared" si="775"/>
        <v>55.570000000000618</v>
      </c>
      <c r="Z831" s="1">
        <f t="shared" si="827"/>
        <v>5612.45</v>
      </c>
      <c r="AA831" s="1">
        <v>5668.58</v>
      </c>
      <c r="AB831" s="1">
        <f t="shared" si="803"/>
        <v>56.130000000000109</v>
      </c>
      <c r="AC831" s="1">
        <f t="shared" si="828"/>
        <v>5668.58</v>
      </c>
      <c r="AD831" s="41">
        <v>5753.63</v>
      </c>
      <c r="AE831" s="1">
        <f t="shared" si="829"/>
        <v>85.050000000000182</v>
      </c>
      <c r="AF831" s="1">
        <f t="shared" si="830"/>
        <v>5753.63</v>
      </c>
    </row>
    <row r="832" spans="1:32" outlineLevel="2">
      <c r="A832" s="11">
        <v>92400</v>
      </c>
      <c r="B832" s="59">
        <v>16000</v>
      </c>
      <c r="C832" s="55" t="s">
        <v>770</v>
      </c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>
        <v>0</v>
      </c>
      <c r="U832" s="53"/>
      <c r="V832" s="1">
        <f t="shared" si="825"/>
        <v>0</v>
      </c>
      <c r="W832" s="1">
        <f t="shared" si="826"/>
        <v>0</v>
      </c>
      <c r="X832" s="1">
        <v>0</v>
      </c>
      <c r="Y832" s="41">
        <f t="shared" si="775"/>
        <v>0</v>
      </c>
      <c r="Z832" s="1">
        <f t="shared" si="827"/>
        <v>0</v>
      </c>
      <c r="AA832" s="1">
        <v>0</v>
      </c>
      <c r="AB832" s="1">
        <f t="shared" si="803"/>
        <v>0</v>
      </c>
      <c r="AC832" s="1">
        <f t="shared" si="828"/>
        <v>0</v>
      </c>
      <c r="AD832" s="41">
        <v>6285.42</v>
      </c>
      <c r="AE832" s="1">
        <f t="shared" si="829"/>
        <v>6285.42</v>
      </c>
      <c r="AF832" s="1">
        <f t="shared" si="830"/>
        <v>6285.42</v>
      </c>
    </row>
    <row r="833" spans="1:32" outlineLevel="2">
      <c r="A833" s="11">
        <v>92400</v>
      </c>
      <c r="B833" s="11">
        <v>21300</v>
      </c>
      <c r="C833" s="48" t="s">
        <v>928</v>
      </c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1"/>
      <c r="W833" s="1"/>
      <c r="Y833" s="41"/>
      <c r="Z833" s="1"/>
      <c r="AB833" s="1"/>
      <c r="AC833" s="1">
        <v>0</v>
      </c>
      <c r="AD833" s="41">
        <v>500</v>
      </c>
      <c r="AE833" s="1">
        <f t="shared" ref="AE833" si="831">AD833-AC833</f>
        <v>500</v>
      </c>
      <c r="AF833" s="1">
        <f t="shared" ref="AF833" si="832">AC833+AE833</f>
        <v>500</v>
      </c>
    </row>
    <row r="834" spans="1:32" outlineLevel="2">
      <c r="A834" s="11">
        <v>92400</v>
      </c>
      <c r="B834" s="11">
        <v>22000</v>
      </c>
      <c r="C834" s="11" t="s">
        <v>280</v>
      </c>
      <c r="D834" s="7">
        <v>500</v>
      </c>
      <c r="E834" s="7"/>
      <c r="F834" s="7">
        <f t="shared" si="818"/>
        <v>500</v>
      </c>
      <c r="G834" s="7"/>
      <c r="H834" s="7">
        <f t="shared" si="819"/>
        <v>500</v>
      </c>
      <c r="I834" s="1"/>
      <c r="J834" s="1">
        <f>H834-I834</f>
        <v>500</v>
      </c>
      <c r="K834" s="1"/>
      <c r="L834" s="1">
        <f t="shared" si="820"/>
        <v>500</v>
      </c>
      <c r="N834" s="1">
        <f t="shared" si="821"/>
        <v>500</v>
      </c>
      <c r="O834" s="1"/>
      <c r="Q834" s="1">
        <f t="shared" si="822"/>
        <v>500</v>
      </c>
      <c r="T834" s="1">
        <f t="shared" si="824"/>
        <v>500</v>
      </c>
      <c r="U834" s="1">
        <f t="shared" si="824"/>
        <v>500</v>
      </c>
      <c r="V834" s="1">
        <f t="shared" si="825"/>
        <v>0</v>
      </c>
      <c r="W834" s="1">
        <f t="shared" si="826"/>
        <v>500</v>
      </c>
      <c r="X834" s="1">
        <v>500</v>
      </c>
      <c r="Y834" s="41">
        <f t="shared" si="775"/>
        <v>0</v>
      </c>
      <c r="Z834" s="1">
        <f t="shared" si="827"/>
        <v>500</v>
      </c>
      <c r="AA834" s="1">
        <v>500</v>
      </c>
      <c r="AB834" s="1">
        <f t="shared" si="803"/>
        <v>0</v>
      </c>
      <c r="AC834" s="1">
        <f t="shared" si="828"/>
        <v>500</v>
      </c>
      <c r="AD834" s="41">
        <v>100</v>
      </c>
      <c r="AE834" s="1">
        <f t="shared" si="829"/>
        <v>-400</v>
      </c>
      <c r="AF834" s="1">
        <f t="shared" si="830"/>
        <v>100</v>
      </c>
    </row>
    <row r="835" spans="1:32" outlineLevel="2">
      <c r="A835" s="11">
        <v>92400</v>
      </c>
      <c r="B835" s="11">
        <v>22101</v>
      </c>
      <c r="C835" s="39" t="s">
        <v>248</v>
      </c>
      <c r="D835" s="7"/>
      <c r="E835" s="7"/>
      <c r="F835" s="7"/>
      <c r="G835" s="7"/>
      <c r="H835" s="7"/>
      <c r="I835" s="1"/>
      <c r="J835" s="1"/>
      <c r="K835" s="1"/>
      <c r="L835" s="1"/>
      <c r="N835" s="1"/>
      <c r="O835" s="1"/>
      <c r="T835" s="1"/>
      <c r="V835" s="1"/>
      <c r="W835" s="1"/>
      <c r="Y835" s="41"/>
      <c r="Z835" s="1"/>
      <c r="AB835" s="1"/>
      <c r="AC835" s="1">
        <v>0</v>
      </c>
      <c r="AD835" s="41">
        <v>100</v>
      </c>
      <c r="AE835" s="1">
        <f t="shared" ref="AE835" si="833">AD835-AC835</f>
        <v>100</v>
      </c>
      <c r="AF835" s="1">
        <f t="shared" ref="AF835" si="834">AC835+AE835</f>
        <v>100</v>
      </c>
    </row>
    <row r="836" spans="1:32" outlineLevel="2">
      <c r="A836" s="11">
        <v>92400</v>
      </c>
      <c r="B836" s="11">
        <v>22606</v>
      </c>
      <c r="C836" s="11" t="s">
        <v>494</v>
      </c>
      <c r="D836" s="7">
        <v>2000</v>
      </c>
      <c r="E836" s="7"/>
      <c r="F836" s="7">
        <f t="shared" si="818"/>
        <v>2000</v>
      </c>
      <c r="G836" s="7"/>
      <c r="H836" s="7">
        <f t="shared" si="819"/>
        <v>2000</v>
      </c>
      <c r="I836" s="1"/>
      <c r="J836" s="1">
        <f>H836-I836</f>
        <v>2000</v>
      </c>
      <c r="K836" s="1"/>
      <c r="L836" s="1">
        <f t="shared" si="820"/>
        <v>2000</v>
      </c>
      <c r="N836" s="1">
        <f t="shared" si="821"/>
        <v>2000</v>
      </c>
      <c r="O836" s="1"/>
      <c r="Q836" s="1">
        <f t="shared" si="822"/>
        <v>2000</v>
      </c>
      <c r="T836" s="1">
        <f t="shared" si="824"/>
        <v>2000</v>
      </c>
      <c r="U836" s="1">
        <f t="shared" si="824"/>
        <v>2000</v>
      </c>
      <c r="V836" s="1">
        <f t="shared" si="825"/>
        <v>0</v>
      </c>
      <c r="W836" s="1">
        <f t="shared" si="826"/>
        <v>2000</v>
      </c>
      <c r="X836" s="1">
        <v>12000</v>
      </c>
      <c r="Y836" s="41">
        <f t="shared" si="775"/>
        <v>10000</v>
      </c>
      <c r="Z836" s="1">
        <f t="shared" si="827"/>
        <v>12000</v>
      </c>
      <c r="AA836" s="1">
        <v>12000</v>
      </c>
      <c r="AB836" s="1">
        <f t="shared" si="803"/>
        <v>0</v>
      </c>
      <c r="AC836" s="1">
        <f t="shared" si="828"/>
        <v>12000</v>
      </c>
      <c r="AD836" s="41">
        <v>5000</v>
      </c>
      <c r="AE836" s="1">
        <f t="shared" si="829"/>
        <v>-7000</v>
      </c>
      <c r="AF836" s="1">
        <f t="shared" si="830"/>
        <v>5000</v>
      </c>
    </row>
    <row r="837" spans="1:32" outlineLevel="2">
      <c r="A837" s="11">
        <v>92400</v>
      </c>
      <c r="B837" s="11">
        <v>22699</v>
      </c>
      <c r="C837" s="39" t="s">
        <v>256</v>
      </c>
      <c r="D837" s="7"/>
      <c r="E837" s="7"/>
      <c r="F837" s="7"/>
      <c r="G837" s="7"/>
      <c r="H837" s="7"/>
      <c r="I837" s="1"/>
      <c r="J837" s="1"/>
      <c r="K837" s="1"/>
      <c r="L837" s="1"/>
      <c r="N837" s="1"/>
      <c r="O837" s="1"/>
      <c r="T837" s="1"/>
      <c r="V837" s="1"/>
      <c r="W837" s="1">
        <v>0</v>
      </c>
      <c r="X837" s="1">
        <v>15000</v>
      </c>
      <c r="Y837" s="41">
        <f t="shared" ref="Y837:Y838" si="835">X837-W837</f>
        <v>15000</v>
      </c>
      <c r="Z837" s="1">
        <f t="shared" si="827"/>
        <v>15000</v>
      </c>
      <c r="AA837" s="1">
        <v>15000</v>
      </c>
      <c r="AB837" s="1">
        <f t="shared" si="803"/>
        <v>0</v>
      </c>
      <c r="AC837" s="1">
        <f t="shared" si="828"/>
        <v>15000</v>
      </c>
      <c r="AD837" s="41">
        <v>5000</v>
      </c>
      <c r="AE837" s="1">
        <f t="shared" si="829"/>
        <v>-10000</v>
      </c>
      <c r="AF837" s="1">
        <f t="shared" si="830"/>
        <v>5000</v>
      </c>
    </row>
    <row r="838" spans="1:32" outlineLevel="2">
      <c r="A838" s="11">
        <v>92400</v>
      </c>
      <c r="B838" s="11">
        <v>22706</v>
      </c>
      <c r="C838" s="42" t="s">
        <v>898</v>
      </c>
      <c r="D838" s="7"/>
      <c r="E838" s="7"/>
      <c r="F838" s="7"/>
      <c r="G838" s="7"/>
      <c r="H838" s="7"/>
      <c r="I838" s="1"/>
      <c r="J838" s="1"/>
      <c r="K838" s="1"/>
      <c r="L838" s="1"/>
      <c r="N838" s="1"/>
      <c r="O838" s="1"/>
      <c r="T838" s="1"/>
      <c r="V838" s="1"/>
      <c r="W838" s="1">
        <v>0</v>
      </c>
      <c r="X838" s="1">
        <f>30250+10000</f>
        <v>40250</v>
      </c>
      <c r="Y838" s="41">
        <f t="shared" si="835"/>
        <v>40250</v>
      </c>
      <c r="Z838" s="1">
        <f t="shared" si="827"/>
        <v>40250</v>
      </c>
      <c r="AA838" s="1">
        <v>40250</v>
      </c>
      <c r="AB838" s="1">
        <f t="shared" si="803"/>
        <v>0</v>
      </c>
      <c r="AC838" s="1">
        <f t="shared" si="828"/>
        <v>40250</v>
      </c>
      <c r="AD838" s="41">
        <v>40000</v>
      </c>
      <c r="AE838" s="1">
        <f t="shared" si="829"/>
        <v>-250</v>
      </c>
      <c r="AF838" s="1">
        <f t="shared" si="830"/>
        <v>40000</v>
      </c>
    </row>
    <row r="839" spans="1:32" s="2" customFormat="1" outlineLevel="1">
      <c r="A839" s="9" t="s">
        <v>25</v>
      </c>
      <c r="B839" s="9"/>
      <c r="C839" s="9" t="s">
        <v>805</v>
      </c>
      <c r="D839" s="8">
        <f t="shared" ref="D839:Q839" si="836">SUBTOTAL(9,D828:D836)</f>
        <v>11621.1</v>
      </c>
      <c r="E839" s="8">
        <f t="shared" si="836"/>
        <v>19835.419999999998</v>
      </c>
      <c r="F839" s="8">
        <f t="shared" si="836"/>
        <v>-8214.32</v>
      </c>
      <c r="G839" s="8">
        <f t="shared" si="836"/>
        <v>10714.32</v>
      </c>
      <c r="H839" s="8">
        <f t="shared" si="836"/>
        <v>22335.42</v>
      </c>
      <c r="I839" s="8">
        <f t="shared" si="836"/>
        <v>19271.419999999998</v>
      </c>
      <c r="J839" s="8">
        <f t="shared" si="836"/>
        <v>3064.0000000000005</v>
      </c>
      <c r="K839" s="8">
        <f t="shared" si="836"/>
        <v>-563.99999999999989</v>
      </c>
      <c r="L839" s="8">
        <f t="shared" si="836"/>
        <v>21771.42</v>
      </c>
      <c r="M839" s="8">
        <f t="shared" si="836"/>
        <v>0</v>
      </c>
      <c r="N839" s="8">
        <f t="shared" si="836"/>
        <v>21771.42</v>
      </c>
      <c r="O839" s="8">
        <f t="shared" si="836"/>
        <v>19343.02</v>
      </c>
      <c r="P839" s="8">
        <f t="shared" si="836"/>
        <v>71.600000000000023</v>
      </c>
      <c r="Q839" s="8">
        <f t="shared" si="836"/>
        <v>21843.019999999997</v>
      </c>
      <c r="R839" s="3"/>
      <c r="S839" s="8">
        <f>SUBTOTAL(9,S828:S836)</f>
        <v>-71.600000000000023</v>
      </c>
      <c r="T839" s="8">
        <f>SUBTOTAL(9,T828:T836)</f>
        <v>21771.42</v>
      </c>
      <c r="U839" s="8">
        <f>SUBTOTAL(9,U828:U836)</f>
        <v>22022.02</v>
      </c>
      <c r="V839" s="8">
        <f>SUBTOTAL(9,V828:V836)</f>
        <v>250.60000000000002</v>
      </c>
      <c r="W839" s="8">
        <f>SUBTOTAL(9,W828:W838)</f>
        <v>22022.019999999997</v>
      </c>
      <c r="X839" s="8">
        <f t="shared" ref="X839:AF839" si="837">SUBTOTAL(9,X828:X838)</f>
        <v>88238.94</v>
      </c>
      <c r="Y839" s="8">
        <f t="shared" si="837"/>
        <v>66216.92</v>
      </c>
      <c r="Z839" s="8">
        <f t="shared" si="837"/>
        <v>88238.94</v>
      </c>
      <c r="AA839" s="8">
        <f t="shared" si="837"/>
        <v>87920.3</v>
      </c>
      <c r="AB839" s="8">
        <f t="shared" si="837"/>
        <v>-318.63999999999987</v>
      </c>
      <c r="AC839" s="8">
        <f t="shared" si="837"/>
        <v>87920.3</v>
      </c>
      <c r="AD839" s="8">
        <f t="shared" si="837"/>
        <v>77459.09</v>
      </c>
      <c r="AE839" s="8">
        <f t="shared" si="837"/>
        <v>-10461.210000000001</v>
      </c>
      <c r="AF839" s="8">
        <f t="shared" si="837"/>
        <v>77459.09</v>
      </c>
    </row>
    <row r="840" spans="1:32" outlineLevel="2">
      <c r="A840" s="11">
        <v>92600</v>
      </c>
      <c r="B840" s="11">
        <v>12000</v>
      </c>
      <c r="C840" s="11" t="s">
        <v>197</v>
      </c>
      <c r="D840" s="7">
        <v>50110.53</v>
      </c>
      <c r="E840" s="7">
        <v>20581.09</v>
      </c>
      <c r="F840" s="7">
        <f t="shared" ref="F840:F846" si="838">D840-E840</f>
        <v>29529.439999999999</v>
      </c>
      <c r="G840" s="7">
        <v>-29529.439999999999</v>
      </c>
      <c r="H840" s="7">
        <f t="shared" ref="H840:H846" si="839">D840+G840</f>
        <v>20581.09</v>
      </c>
      <c r="I840" s="7">
        <v>14677.32</v>
      </c>
      <c r="J840" s="7">
        <f t="shared" ref="J840:J855" si="840">H840-I840</f>
        <v>5903.77</v>
      </c>
      <c r="K840" s="7">
        <v>-5903.77</v>
      </c>
      <c r="L840" s="7">
        <v>14677.32</v>
      </c>
      <c r="M840" s="7">
        <v>0</v>
      </c>
      <c r="N840" s="7">
        <f t="shared" ref="N840:N855" si="841">L840+M840</f>
        <v>14677.32</v>
      </c>
      <c r="O840" s="7">
        <v>14677.32</v>
      </c>
      <c r="P840" s="1">
        <f t="shared" ref="P840:P846" si="842">O840-N840</f>
        <v>0</v>
      </c>
      <c r="Q840" s="1">
        <f t="shared" ref="Q840:Q855" si="843">N840+P840</f>
        <v>14677.32</v>
      </c>
      <c r="R840" s="1">
        <v>14677.32</v>
      </c>
      <c r="S840" s="1">
        <f t="shared" ref="S840:S846" si="844">R840-Q840</f>
        <v>0</v>
      </c>
      <c r="T840" s="1">
        <f t="shared" ref="T840:U855" si="845">Q840+S840</f>
        <v>14677.32</v>
      </c>
      <c r="U840" s="1">
        <v>14677.32</v>
      </c>
      <c r="V840" s="1">
        <f t="shared" ref="V840:V855" si="846">U840-T840</f>
        <v>0</v>
      </c>
      <c r="W840" s="1">
        <f t="shared" ref="W840:W855" si="847">T840+V840</f>
        <v>14677.32</v>
      </c>
      <c r="X840" s="1">
        <v>16201.01</v>
      </c>
      <c r="Y840" s="41">
        <f t="shared" ref="Y840:Y896" si="848">X840-W840</f>
        <v>1523.6900000000005</v>
      </c>
      <c r="Z840" s="1">
        <f t="shared" ref="Z840:Z855" si="849">W840+Y840</f>
        <v>16201.01</v>
      </c>
      <c r="AA840" s="1">
        <v>14972.45</v>
      </c>
      <c r="AB840" s="1">
        <f t="shared" si="803"/>
        <v>-1228.5599999999995</v>
      </c>
      <c r="AC840" s="1">
        <f t="shared" ref="AC840:AC857" si="850">Z840+AB840</f>
        <v>14972.45</v>
      </c>
      <c r="AD840" s="41">
        <v>15197.15</v>
      </c>
      <c r="AE840" s="1">
        <f t="shared" ref="AE840:AE857" si="851">AD840-AC840</f>
        <v>224.69999999999891</v>
      </c>
      <c r="AF840" s="1">
        <f t="shared" ref="AF840:AF857" si="852">AC840+AE840</f>
        <v>15197.15</v>
      </c>
    </row>
    <row r="841" spans="1:32" outlineLevel="2">
      <c r="A841" s="11">
        <v>92600</v>
      </c>
      <c r="B841" s="11">
        <v>12003</v>
      </c>
      <c r="C841" s="11" t="s">
        <v>200</v>
      </c>
      <c r="D841" s="7">
        <v>0</v>
      </c>
      <c r="E841" s="7">
        <v>24481.42</v>
      </c>
      <c r="F841" s="7">
        <f t="shared" si="838"/>
        <v>-24481.42</v>
      </c>
      <c r="G841" s="7">
        <v>24481.42</v>
      </c>
      <c r="H841" s="7">
        <f t="shared" si="839"/>
        <v>24481.42</v>
      </c>
      <c r="I841" s="7">
        <v>19769.68</v>
      </c>
      <c r="J841" s="7">
        <f t="shared" si="840"/>
        <v>4711.739999999998</v>
      </c>
      <c r="K841" s="7">
        <v>-4711.74</v>
      </c>
      <c r="L841" s="7">
        <v>19769.68</v>
      </c>
      <c r="M841" s="7">
        <v>0</v>
      </c>
      <c r="N841" s="7">
        <f t="shared" si="841"/>
        <v>19769.68</v>
      </c>
      <c r="O841" s="7">
        <v>19769.68</v>
      </c>
      <c r="P841" s="1">
        <f t="shared" si="842"/>
        <v>0</v>
      </c>
      <c r="Q841" s="1">
        <f t="shared" si="843"/>
        <v>19769.68</v>
      </c>
      <c r="R841" s="1">
        <v>19769.68</v>
      </c>
      <c r="S841" s="1">
        <f t="shared" si="844"/>
        <v>0</v>
      </c>
      <c r="T841" s="1">
        <f t="shared" si="845"/>
        <v>19769.68</v>
      </c>
      <c r="U841" s="1">
        <v>19769.68</v>
      </c>
      <c r="V841" s="1">
        <f t="shared" si="846"/>
        <v>0</v>
      </c>
      <c r="W841" s="1">
        <f t="shared" si="847"/>
        <v>19769.68</v>
      </c>
      <c r="X841" s="1">
        <v>21581.37</v>
      </c>
      <c r="Y841" s="41">
        <f t="shared" si="848"/>
        <v>1811.6899999999987</v>
      </c>
      <c r="Z841" s="1">
        <f t="shared" si="849"/>
        <v>21581.37</v>
      </c>
      <c r="AA841" s="1">
        <v>20167.3</v>
      </c>
      <c r="AB841" s="1">
        <f t="shared" si="803"/>
        <v>-1414.0699999999997</v>
      </c>
      <c r="AC841" s="1">
        <f t="shared" si="850"/>
        <v>20167.3</v>
      </c>
      <c r="AD841" s="41">
        <v>20470.02</v>
      </c>
      <c r="AE841" s="1">
        <f t="shared" si="851"/>
        <v>302.72000000000116</v>
      </c>
      <c r="AF841" s="1">
        <f t="shared" si="852"/>
        <v>20470.02</v>
      </c>
    </row>
    <row r="842" spans="1:32" outlineLevel="2">
      <c r="A842" s="11">
        <v>92600</v>
      </c>
      <c r="B842" s="11">
        <v>12006</v>
      </c>
      <c r="C842" s="11" t="s">
        <v>81</v>
      </c>
      <c r="D842" s="7">
        <v>0</v>
      </c>
      <c r="E842" s="7">
        <v>2785.94</v>
      </c>
      <c r="F842" s="7">
        <f t="shared" si="838"/>
        <v>-2785.94</v>
      </c>
      <c r="G842" s="7">
        <v>2785.94</v>
      </c>
      <c r="H842" s="7">
        <f t="shared" si="839"/>
        <v>2785.94</v>
      </c>
      <c r="I842" s="7">
        <v>5313.98</v>
      </c>
      <c r="J842" s="7">
        <f t="shared" si="840"/>
        <v>-2528.0399999999995</v>
      </c>
      <c r="K842" s="7">
        <v>2528.04</v>
      </c>
      <c r="L842" s="7">
        <v>5313.98</v>
      </c>
      <c r="M842" s="7">
        <f>4827.2-L842</f>
        <v>-486.77999999999975</v>
      </c>
      <c r="N842" s="7">
        <f t="shared" si="841"/>
        <v>4827.2</v>
      </c>
      <c r="O842" s="7">
        <v>4958.75</v>
      </c>
      <c r="P842" s="1">
        <f t="shared" si="842"/>
        <v>131.55000000000018</v>
      </c>
      <c r="Q842" s="1">
        <f t="shared" si="843"/>
        <v>4958.75</v>
      </c>
      <c r="R842" s="1">
        <v>5871.57</v>
      </c>
      <c r="S842" s="1">
        <f t="shared" si="844"/>
        <v>912.81999999999971</v>
      </c>
      <c r="T842" s="1">
        <f t="shared" si="845"/>
        <v>5871.57</v>
      </c>
      <c r="U842" s="1">
        <v>6160.98</v>
      </c>
      <c r="V842" s="1">
        <f t="shared" si="846"/>
        <v>289.40999999999985</v>
      </c>
      <c r="W842" s="1">
        <f t="shared" si="847"/>
        <v>6160.98</v>
      </c>
      <c r="X842" s="1">
        <v>6355.46</v>
      </c>
      <c r="Y842" s="41">
        <f t="shared" si="848"/>
        <v>194.48000000000047</v>
      </c>
      <c r="Z842" s="1">
        <f t="shared" si="849"/>
        <v>6355.46</v>
      </c>
      <c r="AA842" s="1">
        <v>7351.32</v>
      </c>
      <c r="AB842" s="1">
        <f t="shared" si="803"/>
        <v>995.85999999999967</v>
      </c>
      <c r="AC842" s="1">
        <f t="shared" si="850"/>
        <v>7351.32</v>
      </c>
      <c r="AD842" s="41">
        <v>7762.77</v>
      </c>
      <c r="AE842" s="1">
        <f t="shared" si="851"/>
        <v>411.45000000000073</v>
      </c>
      <c r="AF842" s="1">
        <f t="shared" si="852"/>
        <v>7762.77</v>
      </c>
    </row>
    <row r="843" spans="1:32" outlineLevel="2">
      <c r="A843" s="11">
        <v>92600</v>
      </c>
      <c r="B843" s="11">
        <v>12100</v>
      </c>
      <c r="C843" s="11" t="s">
        <v>198</v>
      </c>
      <c r="D843" s="7">
        <v>49261.71</v>
      </c>
      <c r="E843" s="7">
        <v>18792.150000000001</v>
      </c>
      <c r="F843" s="7">
        <f t="shared" si="838"/>
        <v>30469.559999999998</v>
      </c>
      <c r="G843" s="7">
        <v>-30469.56</v>
      </c>
      <c r="H843" s="7">
        <f t="shared" si="839"/>
        <v>18792.149999999998</v>
      </c>
      <c r="I843" s="7">
        <v>20828.919999999998</v>
      </c>
      <c r="J843" s="7">
        <f t="shared" si="840"/>
        <v>-2036.7700000000004</v>
      </c>
      <c r="K843" s="7">
        <v>2036.77</v>
      </c>
      <c r="L843" s="7">
        <v>20828.919999999998</v>
      </c>
      <c r="M843" s="7">
        <v>0</v>
      </c>
      <c r="N843" s="7">
        <f t="shared" si="841"/>
        <v>20828.919999999998</v>
      </c>
      <c r="O843" s="7">
        <v>20828.919999999998</v>
      </c>
      <c r="P843" s="1">
        <f t="shared" si="842"/>
        <v>0</v>
      </c>
      <c r="Q843" s="1">
        <f t="shared" si="843"/>
        <v>20828.919999999998</v>
      </c>
      <c r="R843" s="1">
        <v>20828.919999999998</v>
      </c>
      <c r="S843" s="1">
        <f t="shared" si="844"/>
        <v>0</v>
      </c>
      <c r="T843" s="1">
        <f t="shared" si="845"/>
        <v>20828.919999999998</v>
      </c>
      <c r="U843" s="1">
        <v>20828.919999999998</v>
      </c>
      <c r="V843" s="1">
        <f t="shared" si="846"/>
        <v>0</v>
      </c>
      <c r="W843" s="1">
        <f t="shared" si="847"/>
        <v>20828.919999999998</v>
      </c>
      <c r="X843" s="1">
        <v>21037.21</v>
      </c>
      <c r="Y843" s="41">
        <f t="shared" si="848"/>
        <v>208.29000000000087</v>
      </c>
      <c r="Z843" s="1">
        <f t="shared" si="849"/>
        <v>21037.21</v>
      </c>
      <c r="AA843" s="1">
        <v>21247.75</v>
      </c>
      <c r="AB843" s="1">
        <f t="shared" si="803"/>
        <v>210.54000000000087</v>
      </c>
      <c r="AC843" s="1">
        <f t="shared" si="850"/>
        <v>21247.75</v>
      </c>
      <c r="AD843" s="41">
        <v>21566.65</v>
      </c>
      <c r="AE843" s="1">
        <f t="shared" si="851"/>
        <v>318.90000000000146</v>
      </c>
      <c r="AF843" s="1">
        <f t="shared" si="852"/>
        <v>21566.65</v>
      </c>
    </row>
    <row r="844" spans="1:32" outlineLevel="2">
      <c r="A844" s="11">
        <v>92600</v>
      </c>
      <c r="B844" s="11">
        <v>12101</v>
      </c>
      <c r="C844" s="11" t="s">
        <v>199</v>
      </c>
      <c r="D844" s="7">
        <v>0</v>
      </c>
      <c r="E844" s="7">
        <v>27821.17</v>
      </c>
      <c r="F844" s="7">
        <f t="shared" si="838"/>
        <v>-27821.17</v>
      </c>
      <c r="G844" s="7">
        <v>27821.17</v>
      </c>
      <c r="H844" s="7">
        <f t="shared" si="839"/>
        <v>27821.17</v>
      </c>
      <c r="I844" s="7">
        <v>30835.98</v>
      </c>
      <c r="J844" s="7">
        <f t="shared" si="840"/>
        <v>-3014.8100000000013</v>
      </c>
      <c r="K844" s="7">
        <v>3014.81</v>
      </c>
      <c r="L844" s="7">
        <v>30835.98</v>
      </c>
      <c r="M844" s="7">
        <f>30836.12-L844</f>
        <v>0.13999999999941792</v>
      </c>
      <c r="N844" s="7">
        <f t="shared" si="841"/>
        <v>30836.12</v>
      </c>
      <c r="O844" s="7">
        <v>30836.12</v>
      </c>
      <c r="P844" s="1">
        <f t="shared" si="842"/>
        <v>0</v>
      </c>
      <c r="Q844" s="1">
        <f t="shared" si="843"/>
        <v>30836.12</v>
      </c>
      <c r="R844" s="1">
        <v>30836.12</v>
      </c>
      <c r="S844" s="1">
        <f t="shared" si="844"/>
        <v>0</v>
      </c>
      <c r="T844" s="1">
        <f t="shared" si="845"/>
        <v>30836.12</v>
      </c>
      <c r="U844" s="1">
        <v>30836.12</v>
      </c>
      <c r="V844" s="1">
        <f t="shared" si="846"/>
        <v>0</v>
      </c>
      <c r="W844" s="1">
        <f t="shared" si="847"/>
        <v>30836.12</v>
      </c>
      <c r="X844" s="1">
        <v>31144.48</v>
      </c>
      <c r="Y844" s="41">
        <f t="shared" si="848"/>
        <v>308.36000000000058</v>
      </c>
      <c r="Z844" s="1">
        <f t="shared" si="849"/>
        <v>31144.48</v>
      </c>
      <c r="AA844" s="1">
        <v>31455.8</v>
      </c>
      <c r="AB844" s="1">
        <f t="shared" si="803"/>
        <v>311.31999999999971</v>
      </c>
      <c r="AC844" s="1">
        <f t="shared" si="850"/>
        <v>31455.8</v>
      </c>
      <c r="AD844" s="41">
        <v>31927.75</v>
      </c>
      <c r="AE844" s="1">
        <f t="shared" si="851"/>
        <v>471.95000000000073</v>
      </c>
      <c r="AF844" s="1">
        <f t="shared" si="852"/>
        <v>31927.75</v>
      </c>
    </row>
    <row r="845" spans="1:32" outlineLevel="2">
      <c r="A845" s="11">
        <v>92600</v>
      </c>
      <c r="B845" s="11">
        <v>13000</v>
      </c>
      <c r="C845" s="11" t="s">
        <v>287</v>
      </c>
      <c r="D845" s="7">
        <v>12150.62</v>
      </c>
      <c r="E845" s="7">
        <v>12187.07</v>
      </c>
      <c r="F845" s="7">
        <f t="shared" si="838"/>
        <v>-36.449999999998909</v>
      </c>
      <c r="G845" s="7">
        <v>36.450000000000003</v>
      </c>
      <c r="H845" s="7">
        <f t="shared" si="839"/>
        <v>12187.070000000002</v>
      </c>
      <c r="I845" s="7">
        <v>11358.2</v>
      </c>
      <c r="J845" s="7">
        <f t="shared" si="840"/>
        <v>828.8700000000008</v>
      </c>
      <c r="K845" s="7">
        <v>-828.87</v>
      </c>
      <c r="L845" s="7">
        <v>11358.2</v>
      </c>
      <c r="M845" s="7">
        <v>0</v>
      </c>
      <c r="N845" s="7">
        <f t="shared" si="841"/>
        <v>11358.2</v>
      </c>
      <c r="O845" s="7">
        <v>11358.2</v>
      </c>
      <c r="P845" s="1">
        <f t="shared" si="842"/>
        <v>0</v>
      </c>
      <c r="Q845" s="1">
        <f t="shared" si="843"/>
        <v>11358.2</v>
      </c>
      <c r="R845" s="1">
        <v>11621.3</v>
      </c>
      <c r="S845" s="1">
        <f t="shared" si="844"/>
        <v>263.09999999999854</v>
      </c>
      <c r="T845" s="1">
        <f t="shared" si="845"/>
        <v>11621.3</v>
      </c>
      <c r="U845" s="1">
        <v>11726.54</v>
      </c>
      <c r="V845" s="1">
        <f t="shared" si="846"/>
        <v>105.2400000000016</v>
      </c>
      <c r="W845" s="1">
        <f t="shared" si="847"/>
        <v>11726.54</v>
      </c>
      <c r="X845" s="1">
        <v>12474.5</v>
      </c>
      <c r="Y845" s="41">
        <f t="shared" si="848"/>
        <v>747.95999999999913</v>
      </c>
      <c r="Z845" s="1">
        <f t="shared" si="849"/>
        <v>12474.5</v>
      </c>
      <c r="AA845" s="1">
        <v>12231.31</v>
      </c>
      <c r="AB845" s="1">
        <f t="shared" si="803"/>
        <v>-243.19000000000051</v>
      </c>
      <c r="AC845" s="1">
        <f t="shared" si="850"/>
        <v>12231.31</v>
      </c>
      <c r="AD845" s="41">
        <v>12524.24</v>
      </c>
      <c r="AE845" s="1">
        <f t="shared" si="851"/>
        <v>292.93000000000029</v>
      </c>
      <c r="AF845" s="1">
        <f t="shared" si="852"/>
        <v>12524.24</v>
      </c>
    </row>
    <row r="846" spans="1:32" outlineLevel="2">
      <c r="A846" s="11">
        <v>92600</v>
      </c>
      <c r="B846" s="11">
        <v>13002</v>
      </c>
      <c r="C846" s="11" t="s">
        <v>202</v>
      </c>
      <c r="D846" s="7">
        <v>0</v>
      </c>
      <c r="E846" s="7">
        <v>11408.39</v>
      </c>
      <c r="F846" s="7">
        <f t="shared" si="838"/>
        <v>-11408.39</v>
      </c>
      <c r="G846" s="7">
        <v>11408.39</v>
      </c>
      <c r="H846" s="7">
        <f t="shared" si="839"/>
        <v>11408.39</v>
      </c>
      <c r="I846" s="7">
        <v>12645.08</v>
      </c>
      <c r="J846" s="7">
        <f t="shared" si="840"/>
        <v>-1236.6900000000005</v>
      </c>
      <c r="K846" s="7">
        <v>1236.69</v>
      </c>
      <c r="L846" s="7">
        <v>12645.08</v>
      </c>
      <c r="M846" s="7">
        <v>0</v>
      </c>
      <c r="N846" s="7">
        <f t="shared" si="841"/>
        <v>12645.08</v>
      </c>
      <c r="O846" s="7">
        <v>12645.08</v>
      </c>
      <c r="P846" s="1">
        <f t="shared" si="842"/>
        <v>0</v>
      </c>
      <c r="Q846" s="1">
        <f t="shared" si="843"/>
        <v>12645.08</v>
      </c>
      <c r="R846" s="1">
        <v>12645.08</v>
      </c>
      <c r="S846" s="1">
        <f t="shared" si="844"/>
        <v>0</v>
      </c>
      <c r="T846" s="1">
        <f t="shared" si="845"/>
        <v>12645.08</v>
      </c>
      <c r="U846" s="1">
        <v>12645.08</v>
      </c>
      <c r="V846" s="1">
        <f t="shared" si="846"/>
        <v>0</v>
      </c>
      <c r="W846" s="1">
        <f t="shared" si="847"/>
        <v>12645.08</v>
      </c>
      <c r="X846" s="1">
        <v>12771.53</v>
      </c>
      <c r="Y846" s="41">
        <f t="shared" si="848"/>
        <v>126.45000000000073</v>
      </c>
      <c r="Z846" s="1">
        <f t="shared" si="849"/>
        <v>12771.53</v>
      </c>
      <c r="AA846" s="1">
        <v>12899.21</v>
      </c>
      <c r="AB846" s="1">
        <f t="shared" si="803"/>
        <v>127.67999999999847</v>
      </c>
      <c r="AC846" s="1">
        <f t="shared" si="850"/>
        <v>12899.21</v>
      </c>
      <c r="AD846" s="41">
        <v>13092.81</v>
      </c>
      <c r="AE846" s="1">
        <f t="shared" si="851"/>
        <v>193.60000000000036</v>
      </c>
      <c r="AF846" s="1">
        <f t="shared" si="852"/>
        <v>13092.81</v>
      </c>
    </row>
    <row r="847" spans="1:32" outlineLevel="2">
      <c r="A847" s="11">
        <v>92600</v>
      </c>
      <c r="B847" s="59">
        <v>16000</v>
      </c>
      <c r="C847" s="55" t="s">
        <v>769</v>
      </c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>
        <v>0</v>
      </c>
      <c r="U847" s="53"/>
      <c r="V847" s="1">
        <f t="shared" si="846"/>
        <v>0</v>
      </c>
      <c r="W847" s="1">
        <f t="shared" si="847"/>
        <v>0</v>
      </c>
      <c r="X847" s="1">
        <v>0</v>
      </c>
      <c r="Y847" s="41">
        <f t="shared" si="848"/>
        <v>0</v>
      </c>
      <c r="Z847" s="1">
        <f t="shared" si="849"/>
        <v>0</v>
      </c>
      <c r="AA847" s="1">
        <v>0</v>
      </c>
      <c r="AB847" s="1">
        <f t="shared" si="803"/>
        <v>0</v>
      </c>
      <c r="AC847" s="1">
        <f t="shared" si="850"/>
        <v>0</v>
      </c>
      <c r="AD847" s="41">
        <v>34636.769999999997</v>
      </c>
      <c r="AE847" s="1">
        <f t="shared" si="851"/>
        <v>34636.769999999997</v>
      </c>
      <c r="AF847" s="1">
        <f t="shared" si="852"/>
        <v>34636.769999999997</v>
      </c>
    </row>
    <row r="848" spans="1:32" outlineLevel="2">
      <c r="A848" s="11">
        <v>92600</v>
      </c>
      <c r="B848" s="11">
        <v>20600</v>
      </c>
      <c r="C848" s="11" t="s">
        <v>288</v>
      </c>
      <c r="D848" s="7">
        <v>37000</v>
      </c>
      <c r="E848" s="7"/>
      <c r="F848" s="7">
        <f t="shared" ref="F848:F855" si="853">D848-E848</f>
        <v>37000</v>
      </c>
      <c r="G848" s="7">
        <v>-2000</v>
      </c>
      <c r="H848" s="7">
        <f t="shared" ref="H848:H855" si="854">D848+G848</f>
        <v>35000</v>
      </c>
      <c r="I848" s="7"/>
      <c r="J848" s="7">
        <f t="shared" si="840"/>
        <v>35000</v>
      </c>
      <c r="K848" s="7"/>
      <c r="L848" s="7">
        <v>35000</v>
      </c>
      <c r="M848" s="7">
        <v>0</v>
      </c>
      <c r="N848" s="7">
        <f t="shared" si="841"/>
        <v>35000</v>
      </c>
      <c r="O848" s="7"/>
      <c r="Q848" s="1">
        <f t="shared" si="843"/>
        <v>35000</v>
      </c>
      <c r="R848" s="1">
        <v>15125</v>
      </c>
      <c r="T848" s="1">
        <f t="shared" si="845"/>
        <v>35000</v>
      </c>
      <c r="U848" s="1">
        <v>35000</v>
      </c>
      <c r="V848" s="1">
        <f t="shared" si="846"/>
        <v>0</v>
      </c>
      <c r="W848" s="1">
        <f t="shared" si="847"/>
        <v>35000</v>
      </c>
      <c r="X848" s="1">
        <v>35000</v>
      </c>
      <c r="Y848" s="41">
        <f t="shared" si="848"/>
        <v>0</v>
      </c>
      <c r="Z848" s="1">
        <f t="shared" si="849"/>
        <v>35000</v>
      </c>
      <c r="AA848" s="1">
        <v>50000</v>
      </c>
      <c r="AB848" s="1">
        <f t="shared" si="803"/>
        <v>15000</v>
      </c>
      <c r="AC848" s="1">
        <f t="shared" si="850"/>
        <v>50000</v>
      </c>
      <c r="AD848" s="41">
        <v>50000</v>
      </c>
      <c r="AE848" s="1">
        <f t="shared" si="851"/>
        <v>0</v>
      </c>
      <c r="AF848" s="1">
        <f t="shared" si="852"/>
        <v>50000</v>
      </c>
    </row>
    <row r="849" spans="1:32" outlineLevel="2">
      <c r="A849" s="11">
        <v>92600</v>
      </c>
      <c r="B849" s="11">
        <v>21600</v>
      </c>
      <c r="C849" s="11" t="s">
        <v>289</v>
      </c>
      <c r="D849" s="7">
        <v>90000</v>
      </c>
      <c r="E849" s="7"/>
      <c r="F849" s="7">
        <f t="shared" si="853"/>
        <v>90000</v>
      </c>
      <c r="G849" s="7">
        <v>-4500</v>
      </c>
      <c r="H849" s="7">
        <f t="shared" si="854"/>
        <v>85500</v>
      </c>
      <c r="I849" s="7"/>
      <c r="J849" s="7">
        <f t="shared" si="840"/>
        <v>85500</v>
      </c>
      <c r="K849" s="7"/>
      <c r="L849" s="7">
        <v>85500</v>
      </c>
      <c r="M849" s="7">
        <f>138000-L849</f>
        <v>52500</v>
      </c>
      <c r="N849" s="7">
        <f t="shared" si="841"/>
        <v>138000</v>
      </c>
      <c r="O849" s="7"/>
      <c r="Q849" s="1">
        <f t="shared" si="843"/>
        <v>138000</v>
      </c>
      <c r="T849" s="1">
        <f t="shared" si="845"/>
        <v>138000</v>
      </c>
      <c r="U849" s="1">
        <f t="shared" si="845"/>
        <v>138000</v>
      </c>
      <c r="V849" s="1">
        <f t="shared" si="846"/>
        <v>0</v>
      </c>
      <c r="W849" s="1">
        <f t="shared" si="847"/>
        <v>138000</v>
      </c>
      <c r="X849" s="1">
        <v>138000</v>
      </c>
      <c r="Y849" s="41">
        <f t="shared" si="848"/>
        <v>0</v>
      </c>
      <c r="Z849" s="1">
        <f t="shared" si="849"/>
        <v>138000</v>
      </c>
      <c r="AA849" s="1">
        <v>138000</v>
      </c>
      <c r="AB849" s="1">
        <f t="shared" si="803"/>
        <v>0</v>
      </c>
      <c r="AC849" s="1">
        <f t="shared" si="850"/>
        <v>138000</v>
      </c>
      <c r="AD849" s="41">
        <v>150000</v>
      </c>
      <c r="AE849" s="1">
        <f t="shared" si="851"/>
        <v>12000</v>
      </c>
      <c r="AF849" s="1">
        <f t="shared" si="852"/>
        <v>150000</v>
      </c>
    </row>
    <row r="850" spans="1:32" outlineLevel="2">
      <c r="A850" s="11">
        <v>92600</v>
      </c>
      <c r="B850" s="11">
        <v>22002</v>
      </c>
      <c r="C850" s="11" t="s">
        <v>290</v>
      </c>
      <c r="D850" s="7">
        <v>15000</v>
      </c>
      <c r="E850" s="7"/>
      <c r="F850" s="7">
        <f t="shared" si="853"/>
        <v>15000</v>
      </c>
      <c r="G850" s="7"/>
      <c r="H850" s="7">
        <f t="shared" si="854"/>
        <v>15000</v>
      </c>
      <c r="I850" s="7"/>
      <c r="J850" s="7">
        <f t="shared" si="840"/>
        <v>15000</v>
      </c>
      <c r="K850" s="7"/>
      <c r="L850" s="7">
        <v>15000</v>
      </c>
      <c r="M850" s="7">
        <v>0</v>
      </c>
      <c r="N850" s="7">
        <f t="shared" si="841"/>
        <v>15000</v>
      </c>
      <c r="O850" s="7"/>
      <c r="Q850" s="1">
        <f t="shared" si="843"/>
        <v>15000</v>
      </c>
      <c r="T850" s="1">
        <f t="shared" si="845"/>
        <v>15000</v>
      </c>
      <c r="U850" s="1">
        <f t="shared" si="845"/>
        <v>15000</v>
      </c>
      <c r="V850" s="1">
        <f t="shared" si="846"/>
        <v>0</v>
      </c>
      <c r="W850" s="1">
        <f t="shared" si="847"/>
        <v>15000</v>
      </c>
      <c r="X850" s="1">
        <v>15000</v>
      </c>
      <c r="Y850" s="41">
        <f t="shared" si="848"/>
        <v>0</v>
      </c>
      <c r="Z850" s="1">
        <f t="shared" si="849"/>
        <v>15000</v>
      </c>
      <c r="AA850" s="1">
        <v>15000</v>
      </c>
      <c r="AB850" s="1">
        <f t="shared" si="803"/>
        <v>0</v>
      </c>
      <c r="AC850" s="1">
        <f t="shared" si="850"/>
        <v>15000</v>
      </c>
      <c r="AD850" s="41">
        <v>10000</v>
      </c>
      <c r="AE850" s="1">
        <f t="shared" si="851"/>
        <v>-5000</v>
      </c>
      <c r="AF850" s="1">
        <f t="shared" si="852"/>
        <v>10000</v>
      </c>
    </row>
    <row r="851" spans="1:32" outlineLevel="2">
      <c r="A851" s="11">
        <v>92600</v>
      </c>
      <c r="B851" s="11">
        <v>22103</v>
      </c>
      <c r="C851" s="11" t="s">
        <v>291</v>
      </c>
      <c r="D851" s="7">
        <v>200</v>
      </c>
      <c r="E851" s="7"/>
      <c r="F851" s="7">
        <f t="shared" si="853"/>
        <v>200</v>
      </c>
      <c r="G851" s="7"/>
      <c r="H851" s="7">
        <f t="shared" si="854"/>
        <v>200</v>
      </c>
      <c r="I851" s="7"/>
      <c r="J851" s="7">
        <f t="shared" si="840"/>
        <v>200</v>
      </c>
      <c r="K851" s="7"/>
      <c r="L851" s="7">
        <v>200</v>
      </c>
      <c r="M851" s="7">
        <v>0</v>
      </c>
      <c r="N851" s="7">
        <f t="shared" si="841"/>
        <v>200</v>
      </c>
      <c r="O851" s="7"/>
      <c r="Q851" s="1">
        <f t="shared" si="843"/>
        <v>200</v>
      </c>
      <c r="T851" s="1">
        <f t="shared" si="845"/>
        <v>200</v>
      </c>
      <c r="U851" s="1">
        <f t="shared" si="845"/>
        <v>200</v>
      </c>
      <c r="V851" s="1">
        <f t="shared" si="846"/>
        <v>0</v>
      </c>
      <c r="W851" s="1">
        <f t="shared" si="847"/>
        <v>200</v>
      </c>
      <c r="X851" s="1">
        <v>200</v>
      </c>
      <c r="Y851" s="41">
        <f t="shared" si="848"/>
        <v>0</v>
      </c>
      <c r="Z851" s="1">
        <f t="shared" si="849"/>
        <v>200</v>
      </c>
      <c r="AA851" s="1">
        <v>200</v>
      </c>
      <c r="AB851" s="1">
        <f t="shared" si="803"/>
        <v>0</v>
      </c>
      <c r="AC851" s="1">
        <f t="shared" si="850"/>
        <v>200</v>
      </c>
      <c r="AD851" s="41">
        <v>100</v>
      </c>
      <c r="AE851" s="1">
        <f t="shared" si="851"/>
        <v>-100</v>
      </c>
      <c r="AF851" s="1">
        <f t="shared" si="852"/>
        <v>100</v>
      </c>
    </row>
    <row r="852" spans="1:32" outlineLevel="2">
      <c r="A852" s="11">
        <v>92600</v>
      </c>
      <c r="B852" s="11">
        <v>22699</v>
      </c>
      <c r="C852" s="11" t="s">
        <v>292</v>
      </c>
      <c r="D852" s="7">
        <v>30000</v>
      </c>
      <c r="E852" s="7"/>
      <c r="F852" s="7">
        <f t="shared" si="853"/>
        <v>30000</v>
      </c>
      <c r="G852" s="7"/>
      <c r="H852" s="7">
        <f t="shared" si="854"/>
        <v>30000</v>
      </c>
      <c r="I852" s="7"/>
      <c r="J852" s="7">
        <f t="shared" si="840"/>
        <v>30000</v>
      </c>
      <c r="K852" s="7"/>
      <c r="L852" s="7">
        <v>30000</v>
      </c>
      <c r="M852" s="7">
        <v>0</v>
      </c>
      <c r="N852" s="7">
        <f t="shared" si="841"/>
        <v>30000</v>
      </c>
      <c r="O852" s="7"/>
      <c r="Q852" s="1">
        <f t="shared" si="843"/>
        <v>30000</v>
      </c>
      <c r="T852" s="1">
        <f t="shared" si="845"/>
        <v>30000</v>
      </c>
      <c r="U852" s="1">
        <f t="shared" si="845"/>
        <v>30000</v>
      </c>
      <c r="V852" s="1">
        <f t="shared" si="846"/>
        <v>0</v>
      </c>
      <c r="W852" s="1">
        <f t="shared" si="847"/>
        <v>30000</v>
      </c>
      <c r="X852" s="1">
        <v>30000</v>
      </c>
      <c r="Y852" s="41">
        <f t="shared" si="848"/>
        <v>0</v>
      </c>
      <c r="Z852" s="1">
        <f t="shared" si="849"/>
        <v>30000</v>
      </c>
      <c r="AA852" s="1">
        <v>30000</v>
      </c>
      <c r="AB852" s="1">
        <f t="shared" si="803"/>
        <v>0</v>
      </c>
      <c r="AC852" s="1">
        <f t="shared" si="850"/>
        <v>30000</v>
      </c>
      <c r="AD852" s="41">
        <v>30000</v>
      </c>
      <c r="AE852" s="1">
        <f t="shared" si="851"/>
        <v>0</v>
      </c>
      <c r="AF852" s="1">
        <f t="shared" si="852"/>
        <v>30000</v>
      </c>
    </row>
    <row r="853" spans="1:32" outlineLevel="2">
      <c r="A853" s="11">
        <v>92600</v>
      </c>
      <c r="B853" s="11">
        <v>22706</v>
      </c>
      <c r="C853" s="11" t="s">
        <v>293</v>
      </c>
      <c r="D853" s="7">
        <v>10000</v>
      </c>
      <c r="E853" s="7"/>
      <c r="F853" s="7">
        <f t="shared" si="853"/>
        <v>10000</v>
      </c>
      <c r="G853" s="7"/>
      <c r="H853" s="7">
        <f t="shared" si="854"/>
        <v>10000</v>
      </c>
      <c r="I853" s="7"/>
      <c r="J853" s="7">
        <f t="shared" si="840"/>
        <v>10000</v>
      </c>
      <c r="K853" s="7"/>
      <c r="L853" s="7">
        <v>10000</v>
      </c>
      <c r="M853" s="7">
        <v>0</v>
      </c>
      <c r="N853" s="7">
        <f t="shared" si="841"/>
        <v>10000</v>
      </c>
      <c r="O853" s="7"/>
      <c r="Q853" s="1">
        <f t="shared" si="843"/>
        <v>10000</v>
      </c>
      <c r="T853" s="1">
        <f t="shared" si="845"/>
        <v>10000</v>
      </c>
      <c r="U853" s="1">
        <f t="shared" si="845"/>
        <v>10000</v>
      </c>
      <c r="V853" s="1">
        <f t="shared" si="846"/>
        <v>0</v>
      </c>
      <c r="W853" s="1">
        <f t="shared" si="847"/>
        <v>10000</v>
      </c>
      <c r="X853" s="1">
        <v>15000</v>
      </c>
      <c r="Y853" s="41">
        <f t="shared" si="848"/>
        <v>5000</v>
      </c>
      <c r="Z853" s="1">
        <f t="shared" si="849"/>
        <v>15000</v>
      </c>
      <c r="AA853" s="1">
        <v>15000</v>
      </c>
      <c r="AB853" s="1">
        <f t="shared" si="803"/>
        <v>0</v>
      </c>
      <c r="AC853" s="1">
        <f t="shared" si="850"/>
        <v>15000</v>
      </c>
      <c r="AD853" s="41">
        <f>15000+15000</f>
        <v>30000</v>
      </c>
      <c r="AE853" s="1">
        <f t="shared" si="851"/>
        <v>15000</v>
      </c>
      <c r="AF853" s="1">
        <f t="shared" si="852"/>
        <v>30000</v>
      </c>
    </row>
    <row r="854" spans="1:32" outlineLevel="2">
      <c r="A854" s="11">
        <v>92600</v>
      </c>
      <c r="B854" s="11">
        <v>23020</v>
      </c>
      <c r="C854" s="11" t="s">
        <v>294</v>
      </c>
      <c r="D854" s="7">
        <v>150.25</v>
      </c>
      <c r="E854" s="7"/>
      <c r="F854" s="7">
        <f t="shared" si="853"/>
        <v>150.25</v>
      </c>
      <c r="G854" s="7"/>
      <c r="H854" s="7">
        <f t="shared" si="854"/>
        <v>150.25</v>
      </c>
      <c r="I854" s="7"/>
      <c r="J854" s="7">
        <f t="shared" si="840"/>
        <v>150.25</v>
      </c>
      <c r="K854" s="7"/>
      <c r="L854" s="7">
        <v>150.25</v>
      </c>
      <c r="M854" s="7">
        <v>0</v>
      </c>
      <c r="N854" s="7">
        <f t="shared" si="841"/>
        <v>150.25</v>
      </c>
      <c r="O854" s="7"/>
      <c r="Q854" s="1">
        <f t="shared" si="843"/>
        <v>150.25</v>
      </c>
      <c r="T854" s="1">
        <f t="shared" si="845"/>
        <v>150.25</v>
      </c>
      <c r="U854" s="1">
        <f t="shared" si="845"/>
        <v>150.25</v>
      </c>
      <c r="V854" s="1">
        <f t="shared" si="846"/>
        <v>0</v>
      </c>
      <c r="W854" s="1">
        <f t="shared" si="847"/>
        <v>150.25</v>
      </c>
      <c r="X854" s="1">
        <v>100</v>
      </c>
      <c r="Y854" s="41">
        <f t="shared" si="848"/>
        <v>-50.25</v>
      </c>
      <c r="Z854" s="1">
        <f t="shared" si="849"/>
        <v>100</v>
      </c>
      <c r="AA854" s="1">
        <v>100</v>
      </c>
      <c r="AB854" s="1">
        <f t="shared" si="803"/>
        <v>0</v>
      </c>
      <c r="AC854" s="1">
        <f t="shared" si="850"/>
        <v>100</v>
      </c>
      <c r="AD854" s="41">
        <v>100</v>
      </c>
      <c r="AE854" s="1">
        <f t="shared" si="851"/>
        <v>0</v>
      </c>
      <c r="AF854" s="1">
        <f t="shared" si="852"/>
        <v>100</v>
      </c>
    </row>
    <row r="855" spans="1:32" outlineLevel="2">
      <c r="A855" s="11">
        <v>92600</v>
      </c>
      <c r="B855" s="11">
        <v>23120</v>
      </c>
      <c r="C855" s="11" t="s">
        <v>295</v>
      </c>
      <c r="D855" s="7">
        <v>150.25</v>
      </c>
      <c r="E855" s="7"/>
      <c r="F855" s="7">
        <f t="shared" si="853"/>
        <v>150.25</v>
      </c>
      <c r="G855" s="7"/>
      <c r="H855" s="7">
        <f t="shared" si="854"/>
        <v>150.25</v>
      </c>
      <c r="I855" s="8"/>
      <c r="J855" s="7">
        <f t="shared" si="840"/>
        <v>150.25</v>
      </c>
      <c r="K855" s="8"/>
      <c r="L855" s="7">
        <v>150.25</v>
      </c>
      <c r="M855" s="7">
        <v>0</v>
      </c>
      <c r="N855" s="7">
        <f t="shared" si="841"/>
        <v>150.25</v>
      </c>
      <c r="O855" s="7"/>
      <c r="Q855" s="1">
        <f t="shared" si="843"/>
        <v>150.25</v>
      </c>
      <c r="T855" s="1">
        <f t="shared" si="845"/>
        <v>150.25</v>
      </c>
      <c r="U855" s="1">
        <f t="shared" si="845"/>
        <v>150.25</v>
      </c>
      <c r="V855" s="1">
        <f t="shared" si="846"/>
        <v>0</v>
      </c>
      <c r="W855" s="1">
        <f t="shared" si="847"/>
        <v>150.25</v>
      </c>
      <c r="X855" s="1">
        <v>100</v>
      </c>
      <c r="Y855" s="41">
        <f t="shared" si="848"/>
        <v>-50.25</v>
      </c>
      <c r="Z855" s="1">
        <f t="shared" si="849"/>
        <v>100</v>
      </c>
      <c r="AA855" s="1">
        <v>100</v>
      </c>
      <c r="AB855" s="1">
        <f t="shared" si="803"/>
        <v>0</v>
      </c>
      <c r="AC855" s="1">
        <f t="shared" si="850"/>
        <v>100</v>
      </c>
      <c r="AD855" s="41">
        <v>100</v>
      </c>
      <c r="AE855" s="1">
        <f t="shared" si="851"/>
        <v>0</v>
      </c>
      <c r="AF855" s="1">
        <f t="shared" si="852"/>
        <v>100</v>
      </c>
    </row>
    <row r="856" spans="1:32" outlineLevel="2">
      <c r="A856" s="11">
        <v>92600</v>
      </c>
      <c r="B856" s="11">
        <v>62600</v>
      </c>
      <c r="C856" s="39" t="s">
        <v>789</v>
      </c>
      <c r="D856" s="7"/>
      <c r="E856" s="7"/>
      <c r="F856" s="7"/>
      <c r="G856" s="7"/>
      <c r="H856" s="7"/>
      <c r="I856" s="8"/>
      <c r="J856" s="7"/>
      <c r="K856" s="8"/>
      <c r="L856" s="7"/>
      <c r="N856" s="7"/>
      <c r="O856" s="7"/>
      <c r="T856" s="1"/>
      <c r="V856" s="1"/>
      <c r="W856" s="1">
        <v>0</v>
      </c>
      <c r="X856" s="1">
        <f>15000+4500</f>
        <v>19500</v>
      </c>
      <c r="Y856" s="41">
        <f t="shared" ref="Y856:Y857" si="855">X856-W856</f>
        <v>19500</v>
      </c>
      <c r="Z856" s="1">
        <f t="shared" ref="Z856:Z857" si="856">W856+Y856</f>
        <v>19500</v>
      </c>
      <c r="AA856" s="67">
        <v>10000</v>
      </c>
      <c r="AB856" s="1">
        <f t="shared" si="803"/>
        <v>-9500</v>
      </c>
      <c r="AC856" s="1">
        <f t="shared" si="850"/>
        <v>10000</v>
      </c>
      <c r="AD856" s="41">
        <f>75000+10000+5000+9000+6000+10000</f>
        <v>115000</v>
      </c>
      <c r="AE856" s="1">
        <f t="shared" si="851"/>
        <v>105000</v>
      </c>
      <c r="AF856" s="1">
        <f t="shared" si="852"/>
        <v>115000</v>
      </c>
    </row>
    <row r="857" spans="1:32" outlineLevel="2">
      <c r="A857" s="11">
        <v>92600</v>
      </c>
      <c r="B857" s="11">
        <v>64100</v>
      </c>
      <c r="C857" s="39" t="s">
        <v>788</v>
      </c>
      <c r="D857" s="7"/>
      <c r="E857" s="7"/>
      <c r="F857" s="7"/>
      <c r="G857" s="7"/>
      <c r="H857" s="7"/>
      <c r="I857" s="8"/>
      <c r="J857" s="7"/>
      <c r="K857" s="8"/>
      <c r="L857" s="7"/>
      <c r="N857" s="7"/>
      <c r="O857" s="7"/>
      <c r="T857" s="1"/>
      <c r="V857" s="1"/>
      <c r="W857" s="1">
        <v>0</v>
      </c>
      <c r="X857" s="1">
        <v>75000</v>
      </c>
      <c r="Y857" s="41">
        <f t="shared" si="855"/>
        <v>75000</v>
      </c>
      <c r="Z857" s="1">
        <f t="shared" si="856"/>
        <v>75000</v>
      </c>
      <c r="AA857" s="1">
        <v>0</v>
      </c>
      <c r="AB857" s="1">
        <f t="shared" si="803"/>
        <v>-75000</v>
      </c>
      <c r="AC857" s="1">
        <f t="shared" si="850"/>
        <v>0</v>
      </c>
      <c r="AD857" s="41">
        <v>25000</v>
      </c>
      <c r="AE857" s="1">
        <f t="shared" si="851"/>
        <v>25000</v>
      </c>
      <c r="AF857" s="1">
        <f t="shared" si="852"/>
        <v>25000</v>
      </c>
    </row>
    <row r="858" spans="1:32" outlineLevel="2">
      <c r="A858" s="9" t="s">
        <v>632</v>
      </c>
      <c r="B858" s="9"/>
      <c r="C858" s="9" t="s">
        <v>52</v>
      </c>
      <c r="D858" s="8">
        <f t="shared" ref="D858:O858" si="857">SUBTOTAL(9,D840:D855)</f>
        <v>294023.36</v>
      </c>
      <c r="E858" s="8">
        <f t="shared" si="857"/>
        <v>118057.23</v>
      </c>
      <c r="F858" s="8">
        <f t="shared" si="857"/>
        <v>175966.13</v>
      </c>
      <c r="G858" s="8">
        <f t="shared" si="857"/>
        <v>34.369999999994434</v>
      </c>
      <c r="H858" s="8">
        <f t="shared" si="857"/>
        <v>294057.73</v>
      </c>
      <c r="I858" s="8">
        <f t="shared" si="857"/>
        <v>115429.15999999999</v>
      </c>
      <c r="J858" s="8">
        <f t="shared" si="857"/>
        <v>178628.57</v>
      </c>
      <c r="K858" s="8">
        <f t="shared" si="857"/>
        <v>-2628.0700000000006</v>
      </c>
      <c r="L858" s="8">
        <f t="shared" si="857"/>
        <v>291429.65999999997</v>
      </c>
      <c r="M858" s="8">
        <f t="shared" si="857"/>
        <v>52013.36</v>
      </c>
      <c r="N858" s="8">
        <f t="shared" si="857"/>
        <v>343443.02</v>
      </c>
      <c r="O858" s="8">
        <f t="shared" si="857"/>
        <v>115074.06999999999</v>
      </c>
      <c r="P858" s="8">
        <f>SUBTOTAL(9,P840:P855)</f>
        <v>131.55000000000018</v>
      </c>
      <c r="Q858" s="8">
        <f>SUBTOTAL(9,Q840:Q855)</f>
        <v>343574.57</v>
      </c>
      <c r="S858" s="8">
        <f>SUBTOTAL(9,S840:S855)</f>
        <v>1175.9199999999983</v>
      </c>
      <c r="T858" s="8">
        <f>SUBTOTAL(9,T840:T855)</f>
        <v>344750.49</v>
      </c>
      <c r="U858" s="8">
        <f t="shared" ref="U858:V858" si="858">SUBTOTAL(9,U840:U855)</f>
        <v>345145.14</v>
      </c>
      <c r="V858" s="8">
        <f t="shared" si="858"/>
        <v>394.65000000000146</v>
      </c>
      <c r="W858" s="8">
        <f>SUBTOTAL(9,W840:W857)</f>
        <v>345145.14</v>
      </c>
      <c r="X858" s="8">
        <f>SUBTOTAL(9,X840:X857)</f>
        <v>449465.56</v>
      </c>
      <c r="Y858" s="8">
        <f t="shared" ref="Y858:AF858" si="859">SUBTOTAL(9,Y840:Y857)</f>
        <v>104320.42</v>
      </c>
      <c r="Z858" s="8">
        <f t="shared" si="859"/>
        <v>449465.56</v>
      </c>
      <c r="AA858" s="8">
        <f t="shared" si="859"/>
        <v>378725.14</v>
      </c>
      <c r="AB858" s="8">
        <f t="shared" si="859"/>
        <v>-70740.42</v>
      </c>
      <c r="AC858" s="8">
        <f t="shared" si="859"/>
        <v>378725.14</v>
      </c>
      <c r="AD858" s="8">
        <f t="shared" si="859"/>
        <v>567478.16</v>
      </c>
      <c r="AE858" s="8">
        <f t="shared" si="859"/>
        <v>188753.02000000002</v>
      </c>
      <c r="AF858" s="8">
        <f t="shared" si="859"/>
        <v>567478.16</v>
      </c>
    </row>
    <row r="859" spans="1:32" outlineLevel="2">
      <c r="A859" s="11">
        <v>92900</v>
      </c>
      <c r="B859" s="11">
        <v>12000</v>
      </c>
      <c r="C859" s="11" t="s">
        <v>213</v>
      </c>
      <c r="D859" s="7">
        <v>28855.1</v>
      </c>
      <c r="E859" s="7">
        <v>17575.73</v>
      </c>
      <c r="F859" s="7">
        <f t="shared" ref="F859:F894" si="860">D859-E859</f>
        <v>11279.369999999999</v>
      </c>
      <c r="G859" s="7">
        <v>-11279.37</v>
      </c>
      <c r="H859" s="7">
        <f t="shared" ref="H859:H870" si="861">D859+G859</f>
        <v>17575.729999999996</v>
      </c>
      <c r="I859" s="1">
        <v>14677.32</v>
      </c>
      <c r="J859" s="1">
        <f t="shared" ref="J859:J870" si="862">H859-I859</f>
        <v>2898.4099999999962</v>
      </c>
      <c r="K859" s="1">
        <v>-2898.41</v>
      </c>
      <c r="L859" s="1">
        <f t="shared" ref="L859:L870" si="863">H859+K859</f>
        <v>14677.319999999996</v>
      </c>
      <c r="N859" s="1">
        <f t="shared" ref="N859:N870" si="864">L859+M859</f>
        <v>14677.319999999996</v>
      </c>
      <c r="O859" s="1">
        <v>14677.32</v>
      </c>
      <c r="P859" s="1">
        <f>O859-N859</f>
        <v>0</v>
      </c>
      <c r="Q859" s="1">
        <f t="shared" ref="Q859:Q870" si="865">N859+P859</f>
        <v>14677.319999999996</v>
      </c>
      <c r="R859" s="1">
        <v>14677.32</v>
      </c>
      <c r="S859" s="1">
        <f>R859-Q859</f>
        <v>0</v>
      </c>
      <c r="T859" s="1">
        <f t="shared" ref="T859:U872" si="866">Q859+S859</f>
        <v>14677.319999999996</v>
      </c>
      <c r="U859" s="1">
        <v>14677.32</v>
      </c>
      <c r="V859" s="1">
        <f t="shared" ref="V859:V872" si="867">U859-T859</f>
        <v>0</v>
      </c>
      <c r="W859" s="1">
        <f t="shared" ref="W859:W872" si="868">T859+V859</f>
        <v>14677.319999999996</v>
      </c>
      <c r="X859" s="1">
        <v>14824.1</v>
      </c>
      <c r="Y859" s="41">
        <f t="shared" si="848"/>
        <v>146.78000000000429</v>
      </c>
      <c r="Z859" s="1">
        <f t="shared" ref="Z859:Z872" si="869">W859+Y859</f>
        <v>14824.1</v>
      </c>
      <c r="AA859" s="1">
        <v>14972.45</v>
      </c>
      <c r="AB859" s="1">
        <f t="shared" si="803"/>
        <v>148.35000000000036</v>
      </c>
      <c r="AC859" s="1">
        <f t="shared" ref="AC859:AC872" si="870">Z859+AB859</f>
        <v>14972.45</v>
      </c>
      <c r="AD859" s="41">
        <v>15197.15</v>
      </c>
      <c r="AE859" s="1">
        <f t="shared" ref="AE859:AE872" si="871">AD859-AC859</f>
        <v>224.69999999999891</v>
      </c>
      <c r="AF859" s="1">
        <f t="shared" ref="AF859:AF872" si="872">AC859+AE859</f>
        <v>15197.15</v>
      </c>
    </row>
    <row r="860" spans="1:32" outlineLevel="2">
      <c r="A860" s="11">
        <v>92900</v>
      </c>
      <c r="B860" s="11">
        <v>12004</v>
      </c>
      <c r="C860" s="11" t="s">
        <v>511</v>
      </c>
      <c r="D860" s="7">
        <v>0</v>
      </c>
      <c r="E860" s="7">
        <v>9100.08</v>
      </c>
      <c r="F860" s="7">
        <f t="shared" si="860"/>
        <v>-9100.08</v>
      </c>
      <c r="G860" s="7">
        <v>9100.08</v>
      </c>
      <c r="H860" s="7">
        <f t="shared" si="861"/>
        <v>9100.08</v>
      </c>
      <c r="I860" s="1">
        <v>8378.58</v>
      </c>
      <c r="J860" s="1">
        <f t="shared" si="862"/>
        <v>721.5</v>
      </c>
      <c r="K860" s="1">
        <v>-721.5</v>
      </c>
      <c r="L860" s="1">
        <f t="shared" si="863"/>
        <v>8378.58</v>
      </c>
      <c r="N860" s="1">
        <f t="shared" si="864"/>
        <v>8378.58</v>
      </c>
      <c r="O860" s="1">
        <v>8378.58</v>
      </c>
      <c r="P860" s="1">
        <f>O860-N860</f>
        <v>0</v>
      </c>
      <c r="Q860" s="1">
        <f t="shared" si="865"/>
        <v>8378.58</v>
      </c>
      <c r="R860" s="1">
        <v>8378.58</v>
      </c>
      <c r="S860" s="1">
        <f>R860-Q860</f>
        <v>0</v>
      </c>
      <c r="T860" s="1">
        <f t="shared" si="866"/>
        <v>8378.58</v>
      </c>
      <c r="U860" s="1">
        <v>8378.58</v>
      </c>
      <c r="V860" s="1">
        <f t="shared" si="867"/>
        <v>0</v>
      </c>
      <c r="W860" s="1">
        <f t="shared" si="868"/>
        <v>8378.58</v>
      </c>
      <c r="X860" s="1">
        <v>8462.3700000000008</v>
      </c>
      <c r="Y860" s="41">
        <f t="shared" si="848"/>
        <v>83.790000000000873</v>
      </c>
      <c r="Z860" s="1">
        <f t="shared" si="869"/>
        <v>8462.3700000000008</v>
      </c>
      <c r="AA860" s="1">
        <v>8547.08</v>
      </c>
      <c r="AB860" s="1">
        <f t="shared" si="803"/>
        <v>84.709999999999127</v>
      </c>
      <c r="AC860" s="1">
        <f t="shared" si="870"/>
        <v>8547.08</v>
      </c>
      <c r="AD860" s="41">
        <v>8675.39</v>
      </c>
      <c r="AE860" s="1">
        <f t="shared" si="871"/>
        <v>128.30999999999949</v>
      </c>
      <c r="AF860" s="1">
        <f t="shared" si="872"/>
        <v>8675.39</v>
      </c>
    </row>
    <row r="861" spans="1:32" outlineLevel="2">
      <c r="A861" s="11">
        <v>92900</v>
      </c>
      <c r="B861" s="11">
        <v>12006</v>
      </c>
      <c r="C861" s="11" t="s">
        <v>81</v>
      </c>
      <c r="D861" s="7">
        <v>0</v>
      </c>
      <c r="E861" s="7">
        <v>535.57000000000005</v>
      </c>
      <c r="F861" s="7">
        <f t="shared" si="860"/>
        <v>-535.57000000000005</v>
      </c>
      <c r="G861" s="7">
        <v>535.57000000000005</v>
      </c>
      <c r="H861" s="7">
        <f t="shared" si="861"/>
        <v>535.57000000000005</v>
      </c>
      <c r="I861" s="1">
        <v>1444.8</v>
      </c>
      <c r="J861" s="1">
        <f t="shared" si="862"/>
        <v>-909.2299999999999</v>
      </c>
      <c r="K861" s="1">
        <v>909.23</v>
      </c>
      <c r="L861" s="1">
        <f t="shared" si="863"/>
        <v>1444.8000000000002</v>
      </c>
      <c r="M861" s="7">
        <f>1999.25-L861</f>
        <v>554.44999999999982</v>
      </c>
      <c r="N861" s="1">
        <f t="shared" si="864"/>
        <v>1999.25</v>
      </c>
      <c r="O861" s="1">
        <v>250.6</v>
      </c>
      <c r="P861" s="1">
        <f>O861-N861</f>
        <v>-1748.65</v>
      </c>
      <c r="Q861" s="1">
        <f t="shared" si="865"/>
        <v>250.59999999999991</v>
      </c>
      <c r="R861" s="1">
        <v>1008.8</v>
      </c>
      <c r="S861" s="1">
        <f>R861-Q861</f>
        <v>758.2</v>
      </c>
      <c r="T861" s="1">
        <f t="shared" si="866"/>
        <v>1008.8</v>
      </c>
      <c r="U861" s="1">
        <v>1396.85</v>
      </c>
      <c r="V861" s="1">
        <f t="shared" si="867"/>
        <v>388.04999999999995</v>
      </c>
      <c r="W861" s="1">
        <f t="shared" si="868"/>
        <v>1396.85</v>
      </c>
      <c r="X861" s="1">
        <v>1712.35</v>
      </c>
      <c r="Y861" s="41">
        <f t="shared" si="848"/>
        <v>315.5</v>
      </c>
      <c r="Z861" s="1">
        <f t="shared" si="869"/>
        <v>1712.35</v>
      </c>
      <c r="AA861" s="1">
        <v>1729.6</v>
      </c>
      <c r="AB861" s="1">
        <f t="shared" si="803"/>
        <v>17.25</v>
      </c>
      <c r="AC861" s="1">
        <f t="shared" si="870"/>
        <v>1729.6</v>
      </c>
      <c r="AD861" s="41">
        <v>2324.9</v>
      </c>
      <c r="AE861" s="1">
        <f t="shared" si="871"/>
        <v>595.30000000000018</v>
      </c>
      <c r="AF861" s="1">
        <f t="shared" si="872"/>
        <v>2324.9</v>
      </c>
    </row>
    <row r="862" spans="1:32" outlineLevel="2">
      <c r="A862" s="11">
        <v>92900</v>
      </c>
      <c r="B862" s="11">
        <v>12100</v>
      </c>
      <c r="C862" s="11" t="s">
        <v>214</v>
      </c>
      <c r="D862" s="7">
        <v>25563.94</v>
      </c>
      <c r="E862" s="7">
        <v>11498.94</v>
      </c>
      <c r="F862" s="7">
        <f>D862-E862</f>
        <v>14064.999999999998</v>
      </c>
      <c r="G862" s="7">
        <v>-14065</v>
      </c>
      <c r="H862" s="7">
        <f>D862+G862</f>
        <v>11498.939999999999</v>
      </c>
      <c r="I862" s="1">
        <v>12745.04</v>
      </c>
      <c r="J862" s="1">
        <f t="shared" si="862"/>
        <v>-1246.1000000000022</v>
      </c>
      <c r="K862" s="1">
        <v>1246.0999999999999</v>
      </c>
      <c r="L862" s="1">
        <f t="shared" si="863"/>
        <v>12745.039999999999</v>
      </c>
      <c r="N862" s="1">
        <f t="shared" si="864"/>
        <v>12745.039999999999</v>
      </c>
      <c r="O862" s="1">
        <v>12745.04</v>
      </c>
      <c r="P862" s="1">
        <f>O862-N862</f>
        <v>0</v>
      </c>
      <c r="Q862" s="1">
        <f t="shared" si="865"/>
        <v>12745.039999999999</v>
      </c>
      <c r="R862" s="1">
        <v>12745.04</v>
      </c>
      <c r="S862" s="1">
        <f>R862-Q862</f>
        <v>0</v>
      </c>
      <c r="T862" s="1">
        <f t="shared" si="866"/>
        <v>12745.039999999999</v>
      </c>
      <c r="U862" s="1">
        <v>12745.04</v>
      </c>
      <c r="V862" s="1">
        <f t="shared" si="867"/>
        <v>0</v>
      </c>
      <c r="W862" s="1">
        <f t="shared" si="868"/>
        <v>12745.039999999999</v>
      </c>
      <c r="X862" s="1">
        <v>12872.49</v>
      </c>
      <c r="Y862" s="41">
        <f t="shared" si="848"/>
        <v>127.45000000000073</v>
      </c>
      <c r="Z862" s="1">
        <f t="shared" si="869"/>
        <v>12872.49</v>
      </c>
      <c r="AA862" s="1">
        <v>13001.3</v>
      </c>
      <c r="AB862" s="1">
        <f t="shared" si="803"/>
        <v>128.80999999999949</v>
      </c>
      <c r="AC862" s="1">
        <f t="shared" si="870"/>
        <v>13001.3</v>
      </c>
      <c r="AD862" s="41">
        <v>13196.4</v>
      </c>
      <c r="AE862" s="1">
        <f t="shared" si="871"/>
        <v>195.10000000000036</v>
      </c>
      <c r="AF862" s="1">
        <f t="shared" si="872"/>
        <v>13196.4</v>
      </c>
    </row>
    <row r="863" spans="1:32" outlineLevel="2">
      <c r="A863" s="11">
        <v>92900</v>
      </c>
      <c r="B863" s="11">
        <v>12101</v>
      </c>
      <c r="C863" s="11" t="s">
        <v>215</v>
      </c>
      <c r="D863" s="7">
        <v>0</v>
      </c>
      <c r="E863" s="7">
        <v>14141.7</v>
      </c>
      <c r="F863" s="7">
        <f>D863-E863</f>
        <v>-14141.7</v>
      </c>
      <c r="G863" s="7">
        <v>14141.7</v>
      </c>
      <c r="H863" s="7">
        <f>D863+G863</f>
        <v>14141.7</v>
      </c>
      <c r="I863" s="1">
        <v>15674.26</v>
      </c>
      <c r="J863" s="1">
        <f t="shared" si="862"/>
        <v>-1532.5599999999995</v>
      </c>
      <c r="K863" s="1">
        <v>1532.56</v>
      </c>
      <c r="L863" s="1">
        <f t="shared" si="863"/>
        <v>15674.26</v>
      </c>
      <c r="N863" s="1">
        <f t="shared" si="864"/>
        <v>15674.26</v>
      </c>
      <c r="O863" s="1">
        <v>15674.26</v>
      </c>
      <c r="P863" s="1">
        <f>O863-N863</f>
        <v>0</v>
      </c>
      <c r="Q863" s="1">
        <f t="shared" si="865"/>
        <v>15674.26</v>
      </c>
      <c r="R863" s="1">
        <v>15674.26</v>
      </c>
      <c r="S863" s="1">
        <f>R863-Q863</f>
        <v>0</v>
      </c>
      <c r="T863" s="1">
        <f t="shared" si="866"/>
        <v>15674.26</v>
      </c>
      <c r="U863" s="1">
        <v>15674.26</v>
      </c>
      <c r="V863" s="1">
        <f t="shared" si="867"/>
        <v>0</v>
      </c>
      <c r="W863" s="1">
        <f t="shared" si="868"/>
        <v>15674.26</v>
      </c>
      <c r="X863" s="1">
        <v>15831</v>
      </c>
      <c r="Y863" s="41">
        <f t="shared" si="848"/>
        <v>156.73999999999978</v>
      </c>
      <c r="Z863" s="1">
        <f t="shared" si="869"/>
        <v>15831</v>
      </c>
      <c r="AA863" s="1">
        <v>15989.37</v>
      </c>
      <c r="AB863" s="1">
        <f t="shared" si="803"/>
        <v>158.3700000000008</v>
      </c>
      <c r="AC863" s="1">
        <f t="shared" si="870"/>
        <v>15989.37</v>
      </c>
      <c r="AD863" s="41">
        <v>16229.24</v>
      </c>
      <c r="AE863" s="1">
        <f t="shared" si="871"/>
        <v>239.86999999999898</v>
      </c>
      <c r="AF863" s="1">
        <f t="shared" si="872"/>
        <v>16229.24</v>
      </c>
    </row>
    <row r="864" spans="1:32" outlineLevel="2">
      <c r="A864" s="11">
        <v>92900</v>
      </c>
      <c r="B864" s="59">
        <v>16000</v>
      </c>
      <c r="C864" s="55" t="s">
        <v>768</v>
      </c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>
        <v>0</v>
      </c>
      <c r="U864" s="53"/>
      <c r="V864" s="1">
        <f t="shared" si="867"/>
        <v>0</v>
      </c>
      <c r="W864" s="1">
        <f t="shared" si="868"/>
        <v>0</v>
      </c>
      <c r="X864" s="1">
        <v>0</v>
      </c>
      <c r="Y864" s="41">
        <f t="shared" si="848"/>
        <v>0</v>
      </c>
      <c r="Z864" s="1">
        <f t="shared" si="869"/>
        <v>0</v>
      </c>
      <c r="AA864" s="1">
        <v>0</v>
      </c>
      <c r="AB864" s="1">
        <f t="shared" si="803"/>
        <v>0</v>
      </c>
      <c r="AC864" s="1">
        <f t="shared" si="870"/>
        <v>0</v>
      </c>
      <c r="AD864" s="41">
        <v>17076.28</v>
      </c>
      <c r="AE864" s="1">
        <f t="shared" si="871"/>
        <v>17076.28</v>
      </c>
      <c r="AF864" s="1">
        <f t="shared" si="872"/>
        <v>17076.28</v>
      </c>
    </row>
    <row r="865" spans="1:32" outlineLevel="2">
      <c r="A865" s="11">
        <v>92900</v>
      </c>
      <c r="B865" s="11">
        <v>22000</v>
      </c>
      <c r="C865" s="11" t="s">
        <v>271</v>
      </c>
      <c r="D865" s="7">
        <v>1000</v>
      </c>
      <c r="E865" s="7"/>
      <c r="F865" s="7">
        <f t="shared" si="860"/>
        <v>1000</v>
      </c>
      <c r="G865" s="7"/>
      <c r="H865" s="7">
        <f t="shared" si="861"/>
        <v>1000</v>
      </c>
      <c r="I865" s="1"/>
      <c r="J865" s="1">
        <f t="shared" si="862"/>
        <v>1000</v>
      </c>
      <c r="K865" s="1"/>
      <c r="L865" s="1">
        <f t="shared" si="863"/>
        <v>1000</v>
      </c>
      <c r="N865" s="1">
        <f t="shared" si="864"/>
        <v>1000</v>
      </c>
      <c r="O865" s="1"/>
      <c r="Q865" s="1">
        <f t="shared" si="865"/>
        <v>1000</v>
      </c>
      <c r="T865" s="1">
        <f t="shared" si="866"/>
        <v>1000</v>
      </c>
      <c r="U865" s="1">
        <f t="shared" si="866"/>
        <v>1000</v>
      </c>
      <c r="V865" s="1">
        <f t="shared" si="867"/>
        <v>0</v>
      </c>
      <c r="W865" s="1">
        <f t="shared" si="868"/>
        <v>1000</v>
      </c>
      <c r="X865" s="1">
        <v>1000</v>
      </c>
      <c r="Y865" s="41">
        <f t="shared" si="848"/>
        <v>0</v>
      </c>
      <c r="Z865" s="1">
        <f t="shared" si="869"/>
        <v>1000</v>
      </c>
      <c r="AA865" s="1">
        <v>1000</v>
      </c>
      <c r="AB865" s="1">
        <f t="shared" si="803"/>
        <v>0</v>
      </c>
      <c r="AC865" s="1">
        <f t="shared" si="870"/>
        <v>1000</v>
      </c>
      <c r="AD865" s="41">
        <v>1000</v>
      </c>
      <c r="AE865" s="1">
        <f t="shared" si="871"/>
        <v>0</v>
      </c>
      <c r="AF865" s="1">
        <f t="shared" si="872"/>
        <v>1000</v>
      </c>
    </row>
    <row r="866" spans="1:32" outlineLevel="2">
      <c r="A866" s="11">
        <v>92900</v>
      </c>
      <c r="B866" s="11">
        <v>22199</v>
      </c>
      <c r="C866" s="11" t="s">
        <v>485</v>
      </c>
      <c r="D866" s="7">
        <v>5000</v>
      </c>
      <c r="E866" s="7"/>
      <c r="F866" s="7">
        <f t="shared" si="860"/>
        <v>5000</v>
      </c>
      <c r="G866" s="7"/>
      <c r="H866" s="7">
        <f t="shared" si="861"/>
        <v>5000</v>
      </c>
      <c r="I866" s="1"/>
      <c r="J866" s="1">
        <f t="shared" si="862"/>
        <v>5000</v>
      </c>
      <c r="K866" s="1"/>
      <c r="L866" s="1">
        <f t="shared" si="863"/>
        <v>5000</v>
      </c>
      <c r="N866" s="1">
        <f t="shared" si="864"/>
        <v>5000</v>
      </c>
      <c r="O866" s="1"/>
      <c r="Q866" s="1">
        <f t="shared" si="865"/>
        <v>5000</v>
      </c>
      <c r="T866" s="1">
        <f t="shared" si="866"/>
        <v>5000</v>
      </c>
      <c r="U866" s="1">
        <f t="shared" si="866"/>
        <v>5000</v>
      </c>
      <c r="V866" s="1">
        <f t="shared" si="867"/>
        <v>0</v>
      </c>
      <c r="W866" s="1">
        <f t="shared" si="868"/>
        <v>5000</v>
      </c>
      <c r="X866" s="1">
        <v>1000</v>
      </c>
      <c r="Y866" s="41">
        <f t="shared" si="848"/>
        <v>-4000</v>
      </c>
      <c r="Z866" s="1">
        <f t="shared" si="869"/>
        <v>1000</v>
      </c>
      <c r="AA866" s="1">
        <v>1000</v>
      </c>
      <c r="AB866" s="1">
        <f t="shared" si="803"/>
        <v>0</v>
      </c>
      <c r="AC866" s="1">
        <f t="shared" si="870"/>
        <v>1000</v>
      </c>
      <c r="AD866" s="41">
        <v>4000</v>
      </c>
      <c r="AE866" s="1">
        <f t="shared" si="871"/>
        <v>3000</v>
      </c>
      <c r="AF866" s="1">
        <f t="shared" si="872"/>
        <v>4000</v>
      </c>
    </row>
    <row r="867" spans="1:32" outlineLevel="2">
      <c r="A867" s="11">
        <v>92900</v>
      </c>
      <c r="B867" s="11">
        <v>22602</v>
      </c>
      <c r="C867" s="11" t="s">
        <v>486</v>
      </c>
      <c r="D867" s="7">
        <v>20000</v>
      </c>
      <c r="E867" s="7"/>
      <c r="F867" s="7">
        <f t="shared" si="860"/>
        <v>20000</v>
      </c>
      <c r="G867" s="7">
        <v>-4500</v>
      </c>
      <c r="H867" s="7">
        <f t="shared" si="861"/>
        <v>15500</v>
      </c>
      <c r="I867" s="1"/>
      <c r="J867" s="1">
        <f t="shared" si="862"/>
        <v>15500</v>
      </c>
      <c r="K867" s="1"/>
      <c r="L867" s="1">
        <f t="shared" si="863"/>
        <v>15500</v>
      </c>
      <c r="N867" s="1">
        <f t="shared" si="864"/>
        <v>15500</v>
      </c>
      <c r="O867" s="1"/>
      <c r="P867" s="1">
        <v>-15500</v>
      </c>
      <c r="Q867" s="1">
        <f t="shared" si="865"/>
        <v>0</v>
      </c>
      <c r="T867" s="1">
        <f t="shared" si="866"/>
        <v>0</v>
      </c>
      <c r="U867" s="1">
        <v>2000</v>
      </c>
      <c r="V867" s="1">
        <f t="shared" si="867"/>
        <v>2000</v>
      </c>
      <c r="W867" s="1">
        <f t="shared" si="868"/>
        <v>2000</v>
      </c>
      <c r="X867" s="1">
        <v>4000</v>
      </c>
      <c r="Y867" s="41">
        <f t="shared" si="848"/>
        <v>2000</v>
      </c>
      <c r="Z867" s="1">
        <f t="shared" si="869"/>
        <v>4000</v>
      </c>
      <c r="AA867" s="1">
        <v>4000</v>
      </c>
      <c r="AB867" s="1">
        <f t="shared" si="803"/>
        <v>0</v>
      </c>
      <c r="AC867" s="1">
        <f t="shared" si="870"/>
        <v>4000</v>
      </c>
      <c r="AD867" s="41">
        <v>4000</v>
      </c>
      <c r="AE867" s="1">
        <f t="shared" si="871"/>
        <v>0</v>
      </c>
      <c r="AF867" s="1">
        <f t="shared" si="872"/>
        <v>4000</v>
      </c>
    </row>
    <row r="868" spans="1:32" outlineLevel="2">
      <c r="A868" s="11">
        <v>92900</v>
      </c>
      <c r="B868" s="11">
        <v>22699</v>
      </c>
      <c r="C868" s="42" t="s">
        <v>892</v>
      </c>
      <c r="D868" s="7"/>
      <c r="E868" s="7"/>
      <c r="F868" s="7"/>
      <c r="G868" s="7"/>
      <c r="H868" s="7"/>
      <c r="I868" s="1"/>
      <c r="J868" s="1"/>
      <c r="K868" s="1"/>
      <c r="L868" s="1"/>
      <c r="N868" s="1"/>
      <c r="O868" s="1"/>
      <c r="T868" s="1"/>
      <c r="V868" s="1"/>
      <c r="W868" s="1"/>
      <c r="Y868" s="41"/>
      <c r="Z868" s="1">
        <v>0</v>
      </c>
      <c r="AA868" s="1">
        <v>1000</v>
      </c>
      <c r="AB868" s="1">
        <f t="shared" ref="AB868" si="873">AA868-Z868</f>
        <v>1000</v>
      </c>
      <c r="AC868" s="1">
        <f t="shared" ref="AC868" si="874">Z868+AB868</f>
        <v>1000</v>
      </c>
      <c r="AD868" s="41">
        <v>1000</v>
      </c>
      <c r="AE868" s="1">
        <f t="shared" si="871"/>
        <v>0</v>
      </c>
      <c r="AF868" s="1">
        <f t="shared" si="872"/>
        <v>1000</v>
      </c>
    </row>
    <row r="869" spans="1:32" outlineLevel="2">
      <c r="A869" s="11">
        <v>92900</v>
      </c>
      <c r="B869" s="11">
        <v>23020</v>
      </c>
      <c r="C869" s="42" t="s">
        <v>921</v>
      </c>
      <c r="D869" s="7">
        <v>139.36000000000001</v>
      </c>
      <c r="E869" s="7"/>
      <c r="F869" s="7">
        <f t="shared" si="860"/>
        <v>139.36000000000001</v>
      </c>
      <c r="G869" s="7"/>
      <c r="H869" s="7">
        <f t="shared" si="861"/>
        <v>139.36000000000001</v>
      </c>
      <c r="I869" s="1"/>
      <c r="J869" s="1">
        <f t="shared" si="862"/>
        <v>139.36000000000001</v>
      </c>
      <c r="K869" s="1"/>
      <c r="L869" s="1">
        <f t="shared" si="863"/>
        <v>139.36000000000001</v>
      </c>
      <c r="N869" s="1">
        <f t="shared" si="864"/>
        <v>139.36000000000001</v>
      </c>
      <c r="O869" s="1"/>
      <c r="Q869" s="1">
        <f t="shared" si="865"/>
        <v>139.36000000000001</v>
      </c>
      <c r="T869" s="1">
        <f t="shared" si="866"/>
        <v>139.36000000000001</v>
      </c>
      <c r="U869" s="1">
        <f t="shared" si="866"/>
        <v>139.36000000000001</v>
      </c>
      <c r="V869" s="1">
        <f t="shared" si="867"/>
        <v>0</v>
      </c>
      <c r="W869" s="1">
        <f t="shared" si="868"/>
        <v>139.36000000000001</v>
      </c>
      <c r="X869" s="1">
        <v>100</v>
      </c>
      <c r="Y869" s="41">
        <f t="shared" si="848"/>
        <v>-39.360000000000014</v>
      </c>
      <c r="Z869" s="1">
        <f t="shared" si="869"/>
        <v>100</v>
      </c>
      <c r="AA869" s="1">
        <v>100</v>
      </c>
      <c r="AB869" s="1">
        <f t="shared" si="803"/>
        <v>0</v>
      </c>
      <c r="AC869" s="1">
        <f t="shared" si="870"/>
        <v>100</v>
      </c>
      <c r="AD869" s="41">
        <v>100</v>
      </c>
      <c r="AE869" s="1">
        <f t="shared" si="871"/>
        <v>0</v>
      </c>
      <c r="AF869" s="1">
        <f t="shared" si="872"/>
        <v>100</v>
      </c>
    </row>
    <row r="870" spans="1:32" outlineLevel="2">
      <c r="A870" s="11">
        <v>92900</v>
      </c>
      <c r="B870" s="11">
        <v>23120</v>
      </c>
      <c r="C870" s="11" t="s">
        <v>487</v>
      </c>
      <c r="D870" s="7">
        <v>728</v>
      </c>
      <c r="E870" s="7"/>
      <c r="F870" s="7">
        <f t="shared" si="860"/>
        <v>728</v>
      </c>
      <c r="G870" s="7"/>
      <c r="H870" s="7">
        <f t="shared" si="861"/>
        <v>728</v>
      </c>
      <c r="I870" s="1"/>
      <c r="J870" s="1">
        <f t="shared" si="862"/>
        <v>728</v>
      </c>
      <c r="K870" s="1"/>
      <c r="L870" s="1">
        <f t="shared" si="863"/>
        <v>728</v>
      </c>
      <c r="N870" s="1">
        <f t="shared" si="864"/>
        <v>728</v>
      </c>
      <c r="O870" s="1"/>
      <c r="Q870" s="1">
        <f t="shared" si="865"/>
        <v>728</v>
      </c>
      <c r="T870" s="1">
        <f t="shared" si="866"/>
        <v>728</v>
      </c>
      <c r="U870" s="1">
        <f t="shared" si="866"/>
        <v>728</v>
      </c>
      <c r="V870" s="1">
        <f t="shared" si="867"/>
        <v>0</v>
      </c>
      <c r="W870" s="1">
        <f t="shared" si="868"/>
        <v>728</v>
      </c>
      <c r="X870" s="1">
        <v>500</v>
      </c>
      <c r="Y870" s="41">
        <f t="shared" si="848"/>
        <v>-228</v>
      </c>
      <c r="Z870" s="1">
        <f t="shared" si="869"/>
        <v>500</v>
      </c>
      <c r="AA870" s="1">
        <v>500</v>
      </c>
      <c r="AB870" s="1">
        <f t="shared" si="803"/>
        <v>0</v>
      </c>
      <c r="AC870" s="1">
        <f t="shared" si="870"/>
        <v>500</v>
      </c>
      <c r="AD870" s="41">
        <v>500</v>
      </c>
      <c r="AE870" s="1">
        <f t="shared" si="871"/>
        <v>0</v>
      </c>
      <c r="AF870" s="1">
        <f t="shared" si="872"/>
        <v>500</v>
      </c>
    </row>
    <row r="871" spans="1:32" outlineLevel="2">
      <c r="A871" s="11">
        <v>92900</v>
      </c>
      <c r="B871" s="11">
        <v>48100</v>
      </c>
      <c r="C871" s="39" t="s">
        <v>732</v>
      </c>
      <c r="D871" s="7"/>
      <c r="E871" s="7"/>
      <c r="F871" s="7"/>
      <c r="G871" s="7"/>
      <c r="H871" s="7"/>
      <c r="I871" s="8"/>
      <c r="J871" s="7"/>
      <c r="K871" s="8"/>
      <c r="L871" s="7"/>
      <c r="N871" s="7"/>
      <c r="O871" s="7"/>
      <c r="P871" s="7"/>
      <c r="Q871" s="7"/>
      <c r="T871" s="1">
        <v>0</v>
      </c>
      <c r="U871" s="1">
        <v>500</v>
      </c>
      <c r="V871" s="1">
        <f t="shared" si="867"/>
        <v>500</v>
      </c>
      <c r="W871" s="1">
        <f t="shared" si="868"/>
        <v>500</v>
      </c>
      <c r="X871" s="1">
        <v>1000</v>
      </c>
      <c r="Y871" s="41">
        <f t="shared" si="848"/>
        <v>500</v>
      </c>
      <c r="Z871" s="1">
        <f t="shared" si="869"/>
        <v>1000</v>
      </c>
      <c r="AA871" s="1">
        <v>1000</v>
      </c>
      <c r="AB871" s="1">
        <f t="shared" si="803"/>
        <v>0</v>
      </c>
      <c r="AC871" s="1">
        <f t="shared" si="870"/>
        <v>1000</v>
      </c>
      <c r="AD871" s="41">
        <v>1000</v>
      </c>
      <c r="AE871" s="1">
        <f t="shared" si="871"/>
        <v>0</v>
      </c>
      <c r="AF871" s="1">
        <f t="shared" si="872"/>
        <v>1000</v>
      </c>
    </row>
    <row r="872" spans="1:32" outlineLevel="2">
      <c r="A872" s="11">
        <v>92910</v>
      </c>
      <c r="B872" s="44">
        <v>50000</v>
      </c>
      <c r="C872" s="44" t="s">
        <v>659</v>
      </c>
      <c r="D872" s="45"/>
      <c r="E872" s="45"/>
      <c r="F872" s="45"/>
      <c r="G872" s="45"/>
      <c r="H872" s="45"/>
      <c r="I872" s="46"/>
      <c r="J872" s="45"/>
      <c r="K872" s="46"/>
      <c r="L872" s="45"/>
      <c r="M872" s="45"/>
      <c r="N872" s="45">
        <v>0</v>
      </c>
      <c r="O872" s="45"/>
      <c r="P872" s="45">
        <v>200000</v>
      </c>
      <c r="Q872" s="45">
        <v>0</v>
      </c>
      <c r="R872" s="45">
        <v>200000</v>
      </c>
      <c r="S872" s="45">
        <f>R872-Q872</f>
        <v>200000</v>
      </c>
      <c r="T872" s="45">
        <f t="shared" si="866"/>
        <v>200000</v>
      </c>
      <c r="U872" s="1">
        <v>200000</v>
      </c>
      <c r="V872" s="1">
        <f t="shared" si="867"/>
        <v>0</v>
      </c>
      <c r="W872" s="1">
        <f t="shared" si="868"/>
        <v>200000</v>
      </c>
      <c r="X872" s="1">
        <v>651595.57999999996</v>
      </c>
      <c r="Y872" s="41">
        <f t="shared" si="848"/>
        <v>451595.57999999996</v>
      </c>
      <c r="Z872" s="1">
        <f t="shared" si="869"/>
        <v>651595.57999999996</v>
      </c>
      <c r="AA872" s="1">
        <v>200000</v>
      </c>
      <c r="AB872" s="1">
        <f t="shared" si="803"/>
        <v>-451595.57999999996</v>
      </c>
      <c r="AC872" s="1">
        <f t="shared" si="870"/>
        <v>200000</v>
      </c>
      <c r="AD872" s="41">
        <v>100000</v>
      </c>
      <c r="AE872" s="1">
        <f t="shared" si="871"/>
        <v>-100000</v>
      </c>
      <c r="AF872" s="1">
        <f t="shared" si="872"/>
        <v>100000</v>
      </c>
    </row>
    <row r="873" spans="1:32" outlineLevel="2">
      <c r="A873" s="9" t="s">
        <v>26</v>
      </c>
      <c r="B873" s="9"/>
      <c r="C873" s="9" t="s">
        <v>712</v>
      </c>
      <c r="D873" s="8">
        <f t="shared" ref="D873:M873" si="875">SUBTOTAL(9,D859:D870)</f>
        <v>81286.399999999994</v>
      </c>
      <c r="E873" s="8">
        <f t="shared" si="875"/>
        <v>52852.020000000004</v>
      </c>
      <c r="F873" s="8">
        <f t="shared" si="875"/>
        <v>28434.379999999997</v>
      </c>
      <c r="G873" s="8">
        <f t="shared" si="875"/>
        <v>-6067.02</v>
      </c>
      <c r="H873" s="8">
        <f t="shared" si="875"/>
        <v>75219.37999999999</v>
      </c>
      <c r="I873" s="8">
        <f t="shared" si="875"/>
        <v>52920.000000000007</v>
      </c>
      <c r="J873" s="8">
        <f t="shared" si="875"/>
        <v>22299.379999999997</v>
      </c>
      <c r="K873" s="8">
        <f t="shared" si="875"/>
        <v>67.980000000000018</v>
      </c>
      <c r="L873" s="8">
        <f t="shared" si="875"/>
        <v>75287.360000000001</v>
      </c>
      <c r="M873" s="8">
        <f t="shared" si="875"/>
        <v>554.44999999999982</v>
      </c>
      <c r="N873" s="8">
        <f>SUBTOTAL(9,N859:N872)</f>
        <v>75841.81</v>
      </c>
      <c r="O873" s="8">
        <f>SUBTOTAL(9,O859:O872)</f>
        <v>51725.8</v>
      </c>
      <c r="P873" s="8">
        <f>SUBTOTAL(9,P859:P872)</f>
        <v>182751.35</v>
      </c>
      <c r="Q873" s="8">
        <f>SUBTOTAL(9,Q859:Q872)</f>
        <v>58593.159999999996</v>
      </c>
      <c r="S873" s="8">
        <f>SUBTOTAL(9,S859:S872)</f>
        <v>200758.2</v>
      </c>
      <c r="T873" s="8">
        <f>SUBTOTAL(9,T859:T872)</f>
        <v>259351.36</v>
      </c>
      <c r="U873" s="8">
        <f t="shared" ref="U873:AF873" si="876">SUBTOTAL(9,U859:U872)</f>
        <v>262239.41000000003</v>
      </c>
      <c r="V873" s="8">
        <f t="shared" si="876"/>
        <v>2888.05</v>
      </c>
      <c r="W873" s="8">
        <f t="shared" si="876"/>
        <v>262239.40999999997</v>
      </c>
      <c r="X873" s="8">
        <f t="shared" si="876"/>
        <v>712897.8899999999</v>
      </c>
      <c r="Y873" s="8">
        <f t="shared" si="876"/>
        <v>450658.48</v>
      </c>
      <c r="Z873" s="8">
        <f t="shared" si="876"/>
        <v>712897.8899999999</v>
      </c>
      <c r="AA873" s="8">
        <f t="shared" si="876"/>
        <v>262839.8</v>
      </c>
      <c r="AB873" s="8">
        <f t="shared" si="876"/>
        <v>-450058.08999999997</v>
      </c>
      <c r="AC873" s="8">
        <f t="shared" si="876"/>
        <v>262839.8</v>
      </c>
      <c r="AD873" s="8">
        <f t="shared" si="876"/>
        <v>184299.36</v>
      </c>
      <c r="AE873" s="8">
        <f t="shared" si="876"/>
        <v>-78540.44</v>
      </c>
      <c r="AF873" s="8">
        <f t="shared" si="876"/>
        <v>184299.36</v>
      </c>
    </row>
    <row r="874" spans="1:32" outlineLevel="2">
      <c r="A874" s="11">
        <v>93100</v>
      </c>
      <c r="B874" s="11">
        <v>12000</v>
      </c>
      <c r="C874" s="11" t="s">
        <v>216</v>
      </c>
      <c r="D874" s="7">
        <v>381341.56</v>
      </c>
      <c r="E874" s="7">
        <v>89084.41</v>
      </c>
      <c r="F874" s="7">
        <f t="shared" si="860"/>
        <v>292257.15000000002</v>
      </c>
      <c r="G874" s="7">
        <v>-292257.15000000002</v>
      </c>
      <c r="H874" s="7">
        <f t="shared" ref="H874:H894" si="877">D874+G874</f>
        <v>89084.409999999974</v>
      </c>
      <c r="I874" s="1">
        <v>58709.279999999999</v>
      </c>
      <c r="J874" s="1">
        <f>H874-I874</f>
        <v>30375.129999999976</v>
      </c>
      <c r="K874" s="1">
        <v>-30375.13</v>
      </c>
      <c r="L874" s="1">
        <f t="shared" ref="L874:L896" si="878">H874+K874</f>
        <v>58709.27999999997</v>
      </c>
      <c r="M874" s="7">
        <f>44031.96-L874</f>
        <v>-14677.319999999971</v>
      </c>
      <c r="N874" s="1">
        <f t="shared" ref="N874:N896" si="879">L874+M874</f>
        <v>44031.96</v>
      </c>
      <c r="O874" s="1">
        <v>44031.96</v>
      </c>
      <c r="P874" s="1">
        <f t="shared" ref="P874:P882" si="880">O874-N874</f>
        <v>0</v>
      </c>
      <c r="Q874" s="1">
        <f t="shared" ref="Q874:Q896" si="881">N874+P874</f>
        <v>44031.96</v>
      </c>
      <c r="R874" s="1">
        <v>44031.96</v>
      </c>
      <c r="S874" s="1">
        <f t="shared" ref="S874:S882" si="882">R874-Q874</f>
        <v>0</v>
      </c>
      <c r="T874" s="1">
        <f t="shared" ref="T874:T896" si="883">Q874+S874</f>
        <v>44031.96</v>
      </c>
      <c r="U874" s="1">
        <v>44031.96</v>
      </c>
      <c r="V874" s="1">
        <f t="shared" ref="V874:V896" si="884">U874-T874</f>
        <v>0</v>
      </c>
      <c r="W874" s="1">
        <f t="shared" ref="W874:W896" si="885">T874+V874</f>
        <v>44031.96</v>
      </c>
      <c r="X874" s="1">
        <v>79326.789999999994</v>
      </c>
      <c r="Y874" s="41">
        <f t="shared" si="848"/>
        <v>35294.829999999994</v>
      </c>
      <c r="Z874" s="1">
        <f t="shared" ref="Z874:Z896" si="886">W874+Y874</f>
        <v>79326.789999999994</v>
      </c>
      <c r="AA874" s="1">
        <v>76258.48</v>
      </c>
      <c r="AB874" s="1">
        <f t="shared" si="803"/>
        <v>-3068.3099999999977</v>
      </c>
      <c r="AC874" s="1">
        <f t="shared" ref="AC874:AC896" si="887">Z874+AB874</f>
        <v>76258.48</v>
      </c>
      <c r="AD874" s="41">
        <v>75985.75</v>
      </c>
      <c r="AE874" s="1">
        <f t="shared" ref="AE874:AE896" si="888">AD874-AC874</f>
        <v>-272.72999999999593</v>
      </c>
      <c r="AF874" s="1">
        <f t="shared" ref="AF874:AF896" si="889">AC874+AE874</f>
        <v>75985.75</v>
      </c>
    </row>
    <row r="875" spans="1:32" outlineLevel="2">
      <c r="A875" s="11">
        <v>93100</v>
      </c>
      <c r="B875" s="11">
        <v>12001</v>
      </c>
      <c r="C875" s="11" t="s">
        <v>217</v>
      </c>
      <c r="D875" s="7">
        <v>0</v>
      </c>
      <c r="E875" s="7">
        <v>33807.61</v>
      </c>
      <c r="F875" s="7">
        <f t="shared" si="860"/>
        <v>-33807.61</v>
      </c>
      <c r="G875" s="7">
        <v>33807.61</v>
      </c>
      <c r="H875" s="7">
        <f t="shared" si="877"/>
        <v>33807.61</v>
      </c>
      <c r="I875" s="1">
        <v>25813.040000000001</v>
      </c>
      <c r="J875" s="1">
        <f>H875-I875</f>
        <v>7994.57</v>
      </c>
      <c r="K875" s="1">
        <v>-7994.57</v>
      </c>
      <c r="L875" s="1">
        <f t="shared" si="878"/>
        <v>25813.040000000001</v>
      </c>
      <c r="N875" s="1">
        <f t="shared" si="879"/>
        <v>25813.040000000001</v>
      </c>
      <c r="O875" s="1">
        <v>12906.52</v>
      </c>
      <c r="P875" s="1">
        <f t="shared" si="880"/>
        <v>-12906.52</v>
      </c>
      <c r="Q875" s="1">
        <f t="shared" si="881"/>
        <v>12906.52</v>
      </c>
      <c r="R875" s="1">
        <v>12906.52</v>
      </c>
      <c r="S875" s="1">
        <f t="shared" si="882"/>
        <v>0</v>
      </c>
      <c r="T875" s="1">
        <f t="shared" si="883"/>
        <v>12906.52</v>
      </c>
      <c r="U875" s="1">
        <v>12906.52</v>
      </c>
      <c r="V875" s="1">
        <f t="shared" si="884"/>
        <v>0</v>
      </c>
      <c r="W875" s="1">
        <f t="shared" si="885"/>
        <v>12906.52</v>
      </c>
      <c r="X875" s="1">
        <v>28239.8</v>
      </c>
      <c r="Y875" s="41">
        <f t="shared" si="848"/>
        <v>15333.279999999999</v>
      </c>
      <c r="Z875" s="1">
        <f t="shared" si="886"/>
        <v>28239.8</v>
      </c>
      <c r="AA875" s="1">
        <v>27758.81</v>
      </c>
      <c r="AB875" s="1">
        <f t="shared" ref="AB875:AB896" si="890">AA875-Z875</f>
        <v>-480.98999999999796</v>
      </c>
      <c r="AC875" s="1">
        <f t="shared" si="887"/>
        <v>27758.81</v>
      </c>
      <c r="AD875" s="41">
        <v>40090.5</v>
      </c>
      <c r="AE875" s="1">
        <f t="shared" si="888"/>
        <v>12331.689999999999</v>
      </c>
      <c r="AF875" s="1">
        <f t="shared" si="889"/>
        <v>40090.5</v>
      </c>
    </row>
    <row r="876" spans="1:32" outlineLevel="2">
      <c r="A876" s="11">
        <v>93100</v>
      </c>
      <c r="B876" s="11">
        <v>12003</v>
      </c>
      <c r="C876" s="11" t="s">
        <v>218</v>
      </c>
      <c r="D876" s="7">
        <v>0</v>
      </c>
      <c r="E876" s="7">
        <v>113184.12</v>
      </c>
      <c r="F876" s="7">
        <f t="shared" si="860"/>
        <v>-113184.12</v>
      </c>
      <c r="G876" s="7">
        <v>113184.12</v>
      </c>
      <c r="H876" s="7">
        <f t="shared" si="877"/>
        <v>113184.12</v>
      </c>
      <c r="I876" s="1">
        <v>88963.56</v>
      </c>
      <c r="J876" s="1">
        <f>H876-I876</f>
        <v>24220.559999999998</v>
      </c>
      <c r="K876" s="1">
        <v>-24220.560000000001</v>
      </c>
      <c r="L876" s="1">
        <f t="shared" si="878"/>
        <v>88963.56</v>
      </c>
      <c r="N876" s="1">
        <f t="shared" si="879"/>
        <v>88963.56</v>
      </c>
      <c r="O876" s="1">
        <v>88963.56</v>
      </c>
      <c r="P876" s="1">
        <f t="shared" si="880"/>
        <v>0</v>
      </c>
      <c r="Q876" s="1">
        <f t="shared" si="881"/>
        <v>88963.56</v>
      </c>
      <c r="R876" s="1">
        <v>88963.56</v>
      </c>
      <c r="S876" s="1">
        <f t="shared" si="882"/>
        <v>0</v>
      </c>
      <c r="T876" s="1">
        <f t="shared" si="883"/>
        <v>88963.56</v>
      </c>
      <c r="U876" s="1">
        <v>98848.4</v>
      </c>
      <c r="V876" s="1">
        <f t="shared" si="884"/>
        <v>9884.8399999999965</v>
      </c>
      <c r="W876" s="1">
        <f t="shared" si="885"/>
        <v>98848.4</v>
      </c>
      <c r="X876" s="1">
        <v>106239.49</v>
      </c>
      <c r="Y876" s="41">
        <f t="shared" si="848"/>
        <v>7391.0900000000111</v>
      </c>
      <c r="Z876" s="1">
        <f t="shared" si="886"/>
        <v>106239.49</v>
      </c>
      <c r="AA876" s="1">
        <v>70585.55</v>
      </c>
      <c r="AB876" s="1">
        <f t="shared" si="890"/>
        <v>-35653.94</v>
      </c>
      <c r="AC876" s="1">
        <f t="shared" si="887"/>
        <v>70585.55</v>
      </c>
      <c r="AD876" s="41">
        <v>71645.070000000007</v>
      </c>
      <c r="AE876" s="1">
        <f t="shared" si="888"/>
        <v>1059.5200000000041</v>
      </c>
      <c r="AF876" s="1">
        <f t="shared" si="889"/>
        <v>71645.070000000007</v>
      </c>
    </row>
    <row r="877" spans="1:32" outlineLevel="2">
      <c r="A877" s="11">
        <v>93100</v>
      </c>
      <c r="B877" s="11">
        <v>12004</v>
      </c>
      <c r="C877" s="11" t="s">
        <v>219</v>
      </c>
      <c r="D877" s="7">
        <v>0</v>
      </c>
      <c r="E877" s="7">
        <v>101143.38</v>
      </c>
      <c r="F877" s="7">
        <f t="shared" si="860"/>
        <v>-101143.38</v>
      </c>
      <c r="G877" s="7">
        <v>101143.38</v>
      </c>
      <c r="H877" s="7">
        <f t="shared" si="877"/>
        <v>101143.38</v>
      </c>
      <c r="I877" s="1">
        <v>62141.14</v>
      </c>
      <c r="J877" s="1">
        <f t="shared" ref="J877:J896" si="891">H877-I877</f>
        <v>39002.240000000005</v>
      </c>
      <c r="K877" s="1">
        <v>-39002.239999999998</v>
      </c>
      <c r="L877" s="1">
        <f t="shared" si="878"/>
        <v>62141.140000000007</v>
      </c>
      <c r="M877" s="7">
        <f>67028.64-L877</f>
        <v>4887.4999999999927</v>
      </c>
      <c r="N877" s="1">
        <f t="shared" si="879"/>
        <v>67028.639999999999</v>
      </c>
      <c r="O877" s="1">
        <v>67028.639999999999</v>
      </c>
      <c r="P877" s="1">
        <f t="shared" si="880"/>
        <v>0</v>
      </c>
      <c r="Q877" s="1">
        <f t="shared" si="881"/>
        <v>67028.639999999999</v>
      </c>
      <c r="R877" s="1">
        <v>58650.06</v>
      </c>
      <c r="S877" s="1">
        <f t="shared" si="882"/>
        <v>-8378.5800000000017</v>
      </c>
      <c r="T877" s="1">
        <f t="shared" si="883"/>
        <v>58650.06</v>
      </c>
      <c r="U877" s="1">
        <v>83785.8</v>
      </c>
      <c r="V877" s="1">
        <f t="shared" si="884"/>
        <v>25135.740000000005</v>
      </c>
      <c r="W877" s="1">
        <f t="shared" si="885"/>
        <v>83785.8</v>
      </c>
      <c r="X877" s="1">
        <v>98767.98</v>
      </c>
      <c r="Y877" s="41">
        <f t="shared" si="848"/>
        <v>14982.179999999993</v>
      </c>
      <c r="Z877" s="1">
        <f t="shared" si="886"/>
        <v>98767.98</v>
      </c>
      <c r="AA877" s="1">
        <v>85470.62</v>
      </c>
      <c r="AB877" s="1">
        <f t="shared" si="890"/>
        <v>-13297.36</v>
      </c>
      <c r="AC877" s="1">
        <f t="shared" si="887"/>
        <v>85470.62</v>
      </c>
      <c r="AD877" s="41">
        <v>86753.9</v>
      </c>
      <c r="AE877" s="1">
        <f t="shared" si="888"/>
        <v>1283.2799999999988</v>
      </c>
      <c r="AF877" s="1">
        <f t="shared" si="889"/>
        <v>86753.9</v>
      </c>
    </row>
    <row r="878" spans="1:32" outlineLevel="2">
      <c r="A878" s="11">
        <v>93100</v>
      </c>
      <c r="B878" s="11">
        <v>12006</v>
      </c>
      <c r="C878" s="11" t="s">
        <v>81</v>
      </c>
      <c r="D878" s="7">
        <v>0</v>
      </c>
      <c r="E878" s="7">
        <v>38944.67</v>
      </c>
      <c r="F878" s="7">
        <f t="shared" si="860"/>
        <v>-38944.67</v>
      </c>
      <c r="G878" s="7">
        <v>38944.67</v>
      </c>
      <c r="H878" s="7">
        <f t="shared" si="877"/>
        <v>38944.67</v>
      </c>
      <c r="I878" s="1">
        <v>42909.4</v>
      </c>
      <c r="J878" s="1">
        <f t="shared" si="891"/>
        <v>-3964.7300000000032</v>
      </c>
      <c r="K878" s="1">
        <v>3964.73</v>
      </c>
      <c r="L878" s="1">
        <f t="shared" si="878"/>
        <v>42909.4</v>
      </c>
      <c r="M878" s="7">
        <f>44802.29-L878</f>
        <v>1892.8899999999994</v>
      </c>
      <c r="N878" s="1">
        <f t="shared" si="879"/>
        <v>44802.29</v>
      </c>
      <c r="O878" s="1">
        <v>42670.16</v>
      </c>
      <c r="P878" s="1">
        <f t="shared" si="880"/>
        <v>-2132.1299999999974</v>
      </c>
      <c r="Q878" s="1">
        <f t="shared" si="881"/>
        <v>42670.16</v>
      </c>
      <c r="R878" s="1">
        <v>45648.639999999999</v>
      </c>
      <c r="S878" s="1">
        <f t="shared" si="882"/>
        <v>2978.4799999999959</v>
      </c>
      <c r="T878" s="1">
        <f t="shared" si="883"/>
        <v>45648.639999999999</v>
      </c>
      <c r="U878" s="1">
        <v>52363.73</v>
      </c>
      <c r="V878" s="1">
        <f t="shared" si="884"/>
        <v>6715.0900000000038</v>
      </c>
      <c r="W878" s="1">
        <f t="shared" si="885"/>
        <v>52363.73</v>
      </c>
      <c r="X878" s="1">
        <v>52592.79</v>
      </c>
      <c r="Y878" s="41">
        <f t="shared" si="848"/>
        <v>229.05999999999767</v>
      </c>
      <c r="Z878" s="1">
        <f t="shared" si="886"/>
        <v>52592.79</v>
      </c>
      <c r="AA878" s="1">
        <v>51830.21</v>
      </c>
      <c r="AB878" s="1">
        <f t="shared" si="890"/>
        <v>-762.58000000000175</v>
      </c>
      <c r="AC878" s="1">
        <f t="shared" si="887"/>
        <v>51830.21</v>
      </c>
      <c r="AD878" s="41">
        <v>54757.45</v>
      </c>
      <c r="AE878" s="1">
        <f t="shared" si="888"/>
        <v>2927.239999999998</v>
      </c>
      <c r="AF878" s="1">
        <f t="shared" si="889"/>
        <v>54757.45</v>
      </c>
    </row>
    <row r="879" spans="1:32" s="2" customFormat="1" outlineLevel="1">
      <c r="A879" s="11">
        <v>93100</v>
      </c>
      <c r="B879" s="11">
        <v>12100</v>
      </c>
      <c r="C879" s="11" t="s">
        <v>220</v>
      </c>
      <c r="D879" s="7">
        <v>376579.88</v>
      </c>
      <c r="E879" s="7">
        <v>148155.17000000001</v>
      </c>
      <c r="F879" s="7">
        <f>D879-E879</f>
        <v>228424.71</v>
      </c>
      <c r="G879" s="7">
        <v>-228424.71</v>
      </c>
      <c r="H879" s="7">
        <f>D879+G879</f>
        <v>148155.17000000001</v>
      </c>
      <c r="I879" s="1">
        <v>150461.82999999999</v>
      </c>
      <c r="J879" s="1">
        <f t="shared" si="891"/>
        <v>-2306.6599999999744</v>
      </c>
      <c r="K879" s="1">
        <v>2306.66</v>
      </c>
      <c r="L879" s="1">
        <f t="shared" si="878"/>
        <v>150461.83000000002</v>
      </c>
      <c r="M879" s="7">
        <f>141482.32-L879</f>
        <v>-8979.5100000000093</v>
      </c>
      <c r="N879" s="1">
        <f t="shared" si="879"/>
        <v>141482.32</v>
      </c>
      <c r="O879" s="1">
        <v>134344.56</v>
      </c>
      <c r="P879" s="1">
        <f t="shared" si="880"/>
        <v>-7137.7600000000093</v>
      </c>
      <c r="Q879" s="1">
        <f t="shared" si="881"/>
        <v>134344.56</v>
      </c>
      <c r="R879" s="41">
        <v>133370.16</v>
      </c>
      <c r="S879" s="1">
        <f t="shared" si="882"/>
        <v>-974.39999999999418</v>
      </c>
      <c r="T879" s="1">
        <f t="shared" si="883"/>
        <v>133370.16</v>
      </c>
      <c r="U879" s="41">
        <v>152649.70000000001</v>
      </c>
      <c r="V879" s="1">
        <f t="shared" si="884"/>
        <v>19279.540000000008</v>
      </c>
      <c r="W879" s="1">
        <f t="shared" si="885"/>
        <v>152649.70000000001</v>
      </c>
      <c r="X879" s="41">
        <v>191483.73</v>
      </c>
      <c r="Y879" s="41">
        <f t="shared" si="848"/>
        <v>38834.03</v>
      </c>
      <c r="Z879" s="1">
        <f t="shared" si="886"/>
        <v>191483.73</v>
      </c>
      <c r="AA879" s="41">
        <v>172473.46</v>
      </c>
      <c r="AB879" s="1">
        <f t="shared" si="890"/>
        <v>-19010.270000000019</v>
      </c>
      <c r="AC879" s="1">
        <f t="shared" si="887"/>
        <v>172473.46</v>
      </c>
      <c r="AD879" s="41">
        <v>180476.72</v>
      </c>
      <c r="AE879" s="1">
        <f t="shared" si="888"/>
        <v>8003.2600000000093</v>
      </c>
      <c r="AF879" s="1">
        <f t="shared" si="889"/>
        <v>180476.72</v>
      </c>
    </row>
    <row r="880" spans="1:32" outlineLevel="2">
      <c r="A880" s="11">
        <v>93100</v>
      </c>
      <c r="B880" s="11">
        <v>12101</v>
      </c>
      <c r="C880" s="11" t="s">
        <v>221</v>
      </c>
      <c r="D880" s="7">
        <v>0</v>
      </c>
      <c r="E880" s="7">
        <v>220405.23</v>
      </c>
      <c r="F880" s="7">
        <f>D880-E880</f>
        <v>-220405.23</v>
      </c>
      <c r="G880" s="7">
        <v>220405.23</v>
      </c>
      <c r="H880" s="7">
        <f>D880+G880</f>
        <v>220405.23</v>
      </c>
      <c r="I880" s="1">
        <v>235693.13</v>
      </c>
      <c r="J880" s="1">
        <f t="shared" si="891"/>
        <v>-15287.899999999994</v>
      </c>
      <c r="K880" s="1">
        <v>15287.9</v>
      </c>
      <c r="L880" s="1">
        <f t="shared" si="878"/>
        <v>235693.13</v>
      </c>
      <c r="M880" s="7">
        <f>211749.16-L880</f>
        <v>-23943.97</v>
      </c>
      <c r="N880" s="1">
        <f t="shared" si="879"/>
        <v>211749.16</v>
      </c>
      <c r="O880" s="1">
        <v>203112.28</v>
      </c>
      <c r="P880" s="1">
        <f t="shared" si="880"/>
        <v>-8636.8800000000047</v>
      </c>
      <c r="Q880" s="1">
        <f t="shared" si="881"/>
        <v>203112.28</v>
      </c>
      <c r="R880" s="1">
        <v>195018.88</v>
      </c>
      <c r="S880" s="1">
        <f t="shared" si="882"/>
        <v>-8093.3999999999942</v>
      </c>
      <c r="T880" s="1">
        <f t="shared" si="883"/>
        <v>195018.88</v>
      </c>
      <c r="U880" s="1">
        <v>222003.18</v>
      </c>
      <c r="V880" s="1">
        <f t="shared" si="884"/>
        <v>26984.299999999988</v>
      </c>
      <c r="W880" s="1">
        <f t="shared" si="885"/>
        <v>222003.18</v>
      </c>
      <c r="X880" s="1">
        <v>285266.57</v>
      </c>
      <c r="Y880" s="41">
        <f t="shared" si="848"/>
        <v>63263.390000000014</v>
      </c>
      <c r="Z880" s="1">
        <f t="shared" si="886"/>
        <v>285266.57</v>
      </c>
      <c r="AA880" s="1">
        <v>268189.89</v>
      </c>
      <c r="AB880" s="1">
        <f t="shared" si="890"/>
        <v>-17076.679999999993</v>
      </c>
      <c r="AC880" s="1">
        <f t="shared" si="887"/>
        <v>268189.89</v>
      </c>
      <c r="AD880" s="41">
        <v>281156.65999999997</v>
      </c>
      <c r="AE880" s="1">
        <f t="shared" si="888"/>
        <v>12966.76999999996</v>
      </c>
      <c r="AF880" s="1">
        <f t="shared" si="889"/>
        <v>281156.65999999997</v>
      </c>
    </row>
    <row r="881" spans="1:32" outlineLevel="2">
      <c r="A881" s="11">
        <v>93100</v>
      </c>
      <c r="B881" s="11">
        <v>13000</v>
      </c>
      <c r="C881" s="11" t="s">
        <v>496</v>
      </c>
      <c r="D881" s="7">
        <v>11656.08</v>
      </c>
      <c r="E881" s="7">
        <v>11691.05</v>
      </c>
      <c r="F881" s="7">
        <f t="shared" si="860"/>
        <v>-34.969999999999345</v>
      </c>
      <c r="G881" s="7">
        <v>34.97</v>
      </c>
      <c r="H881" s="7">
        <f t="shared" si="877"/>
        <v>11691.05</v>
      </c>
      <c r="I881" s="1">
        <v>10383.379999999999</v>
      </c>
      <c r="J881" s="1">
        <f t="shared" si="891"/>
        <v>1307.67</v>
      </c>
      <c r="K881" s="1">
        <v>-1307.67</v>
      </c>
      <c r="L881" s="1">
        <f t="shared" si="878"/>
        <v>10383.379999999999</v>
      </c>
      <c r="M881" s="7">
        <f>19012.56-L881</f>
        <v>8629.1800000000021</v>
      </c>
      <c r="N881" s="1">
        <f t="shared" si="879"/>
        <v>19012.560000000001</v>
      </c>
      <c r="O881" s="1">
        <v>19227.36</v>
      </c>
      <c r="P881" s="1">
        <f t="shared" si="880"/>
        <v>214.79999999999927</v>
      </c>
      <c r="Q881" s="1">
        <f t="shared" si="881"/>
        <v>19227.36</v>
      </c>
      <c r="R881" s="1">
        <v>19513.759999999998</v>
      </c>
      <c r="S881" s="1">
        <f t="shared" si="882"/>
        <v>286.39999999999782</v>
      </c>
      <c r="T881" s="1">
        <f t="shared" si="883"/>
        <v>19513.759999999998</v>
      </c>
      <c r="U881" s="1">
        <v>10633.98</v>
      </c>
      <c r="V881" s="1">
        <f t="shared" si="884"/>
        <v>-8879.7799999999988</v>
      </c>
      <c r="W881" s="1">
        <f t="shared" si="885"/>
        <v>10633.98</v>
      </c>
      <c r="X881" s="1">
        <v>23103.3</v>
      </c>
      <c r="Y881" s="41">
        <f t="shared" si="848"/>
        <v>12469.32</v>
      </c>
      <c r="Z881" s="1">
        <f t="shared" si="886"/>
        <v>23103.3</v>
      </c>
      <c r="AA881" s="1">
        <v>20417.62</v>
      </c>
      <c r="AB881" s="1">
        <f t="shared" si="890"/>
        <v>-2685.6800000000003</v>
      </c>
      <c r="AC881" s="1">
        <f t="shared" si="887"/>
        <v>20417.62</v>
      </c>
      <c r="AD881" s="41">
        <v>20725.8</v>
      </c>
      <c r="AE881" s="1">
        <f t="shared" si="888"/>
        <v>308.18000000000029</v>
      </c>
      <c r="AF881" s="1">
        <f t="shared" si="889"/>
        <v>20725.8</v>
      </c>
    </row>
    <row r="882" spans="1:32" outlineLevel="2">
      <c r="A882" s="11">
        <v>93100</v>
      </c>
      <c r="B882" s="11">
        <v>13002</v>
      </c>
      <c r="C882" s="11" t="s">
        <v>222</v>
      </c>
      <c r="D882" s="7">
        <v>0</v>
      </c>
      <c r="E882" s="7">
        <v>9149.33</v>
      </c>
      <c r="F882" s="7">
        <f t="shared" si="860"/>
        <v>-9149.33</v>
      </c>
      <c r="G882" s="7">
        <v>9149.33</v>
      </c>
      <c r="H882" s="7">
        <f t="shared" si="877"/>
        <v>9149.33</v>
      </c>
      <c r="I882" s="1">
        <v>10141.040000000001</v>
      </c>
      <c r="J882" s="1">
        <f t="shared" si="891"/>
        <v>-991.71000000000095</v>
      </c>
      <c r="K882" s="1">
        <v>991.71</v>
      </c>
      <c r="L882" s="1">
        <f t="shared" si="878"/>
        <v>10141.040000000001</v>
      </c>
      <c r="M882" s="7">
        <f>20282.08-L882</f>
        <v>10141.040000000001</v>
      </c>
      <c r="N882" s="1">
        <f t="shared" si="879"/>
        <v>20282.080000000002</v>
      </c>
      <c r="O882" s="1">
        <v>20282.080000000002</v>
      </c>
      <c r="P882" s="1">
        <f t="shared" si="880"/>
        <v>0</v>
      </c>
      <c r="Q882" s="1">
        <f t="shared" si="881"/>
        <v>20282.080000000002</v>
      </c>
      <c r="R882" s="1">
        <v>20282.080000000002</v>
      </c>
      <c r="S882" s="1">
        <f t="shared" si="882"/>
        <v>0</v>
      </c>
      <c r="T882" s="1">
        <f t="shared" si="883"/>
        <v>20282.080000000002</v>
      </c>
      <c r="U882" s="1">
        <v>10141.040000000001</v>
      </c>
      <c r="V882" s="1">
        <f t="shared" si="884"/>
        <v>-10141.040000000001</v>
      </c>
      <c r="W882" s="1">
        <f t="shared" si="885"/>
        <v>10141.040000000001</v>
      </c>
      <c r="X882" s="1">
        <v>20484.900000000001</v>
      </c>
      <c r="Y882" s="41">
        <f t="shared" si="848"/>
        <v>10343.86</v>
      </c>
      <c r="Z882" s="1">
        <f t="shared" si="886"/>
        <v>20484.900000000001</v>
      </c>
      <c r="AA882" s="1">
        <v>20689.919999999998</v>
      </c>
      <c r="AB882" s="1">
        <f t="shared" si="890"/>
        <v>205.0199999999968</v>
      </c>
      <c r="AC882" s="1">
        <f t="shared" si="887"/>
        <v>20689.919999999998</v>
      </c>
      <c r="AD882" s="41">
        <v>21000.400000000001</v>
      </c>
      <c r="AE882" s="1">
        <f t="shared" si="888"/>
        <v>310.4800000000032</v>
      </c>
      <c r="AF882" s="1">
        <f t="shared" si="889"/>
        <v>21000.400000000001</v>
      </c>
    </row>
    <row r="883" spans="1:32" outlineLevel="2">
      <c r="A883" s="11">
        <v>93100</v>
      </c>
      <c r="B883" s="11">
        <v>15000</v>
      </c>
      <c r="C883" s="39" t="s">
        <v>856</v>
      </c>
      <c r="D883" s="7"/>
      <c r="E883" s="7"/>
      <c r="F883" s="7"/>
      <c r="G883" s="7"/>
      <c r="H883" s="7"/>
      <c r="I883" s="1"/>
      <c r="J883" s="1"/>
      <c r="K883" s="1"/>
      <c r="L883" s="1"/>
      <c r="N883" s="1"/>
      <c r="O883" s="1"/>
      <c r="T883" s="1"/>
      <c r="V883" s="1"/>
      <c r="W883" s="1"/>
      <c r="Y883" s="41"/>
      <c r="Z883" s="1">
        <v>0</v>
      </c>
      <c r="AA883" s="1">
        <v>35000</v>
      </c>
      <c r="AB883" s="1">
        <f t="shared" ref="AB883" si="892">AA883-Z883</f>
        <v>35000</v>
      </c>
      <c r="AC883" s="1">
        <f t="shared" ref="AC883" si="893">Z883+AB883</f>
        <v>35000</v>
      </c>
      <c r="AD883" s="41">
        <v>32500</v>
      </c>
      <c r="AE883" s="1">
        <f t="shared" si="888"/>
        <v>-2500</v>
      </c>
      <c r="AF883" s="1">
        <f t="shared" si="889"/>
        <v>32500</v>
      </c>
    </row>
    <row r="884" spans="1:32" outlineLevel="2">
      <c r="A884" s="11">
        <v>93100</v>
      </c>
      <c r="B884" s="19">
        <v>16100</v>
      </c>
      <c r="C884" s="48" t="s">
        <v>946</v>
      </c>
      <c r="D884" s="20"/>
      <c r="E884" s="20"/>
      <c r="F884" s="20"/>
      <c r="G884" s="20"/>
      <c r="H884" s="20"/>
      <c r="I884" s="21"/>
      <c r="J884" s="21"/>
      <c r="K884" s="21"/>
      <c r="L884" s="21"/>
      <c r="N884" s="1"/>
      <c r="O884" s="1"/>
      <c r="T884" s="1"/>
      <c r="V884" s="1"/>
      <c r="W884" s="1"/>
      <c r="Y884" s="41"/>
      <c r="Z884" s="1"/>
      <c r="AB884" s="1"/>
      <c r="AC884" s="1">
        <v>0</v>
      </c>
      <c r="AD884" s="41">
        <v>209275.06</v>
      </c>
      <c r="AE884" s="1">
        <f t="shared" ref="AE884" si="894">AD884-AC884</f>
        <v>209275.06</v>
      </c>
      <c r="AF884" s="1">
        <f t="shared" ref="AF884" si="895">AC884+AE884</f>
        <v>209275.06</v>
      </c>
    </row>
    <row r="885" spans="1:32" outlineLevel="2">
      <c r="A885" s="11">
        <v>93100</v>
      </c>
      <c r="B885" s="19">
        <v>20300</v>
      </c>
      <c r="C885" s="48" t="s">
        <v>344</v>
      </c>
      <c r="D885" s="20"/>
      <c r="E885" s="20"/>
      <c r="F885" s="20"/>
      <c r="G885" s="20"/>
      <c r="H885" s="20"/>
      <c r="I885" s="21"/>
      <c r="J885" s="21"/>
      <c r="K885" s="21"/>
      <c r="L885" s="21"/>
      <c r="N885" s="1"/>
      <c r="O885" s="1"/>
      <c r="Q885" s="1">
        <v>0</v>
      </c>
      <c r="S885" s="1">
        <v>30000</v>
      </c>
      <c r="T885" s="1">
        <f t="shared" si="883"/>
        <v>30000</v>
      </c>
      <c r="U885" s="1">
        <f>3352.7*12</f>
        <v>40232.399999999994</v>
      </c>
      <c r="V885" s="1">
        <f t="shared" si="884"/>
        <v>10232.399999999994</v>
      </c>
      <c r="W885" s="1">
        <f t="shared" si="885"/>
        <v>40232.399999999994</v>
      </c>
      <c r="X885" s="1">
        <v>50000</v>
      </c>
      <c r="Y885" s="41">
        <f t="shared" si="848"/>
        <v>9767.6000000000058</v>
      </c>
      <c r="Z885" s="1">
        <f t="shared" si="886"/>
        <v>50000</v>
      </c>
      <c r="AA885" s="1">
        <v>30000</v>
      </c>
      <c r="AB885" s="1">
        <f t="shared" si="890"/>
        <v>-20000</v>
      </c>
      <c r="AC885" s="1">
        <f t="shared" si="887"/>
        <v>30000</v>
      </c>
      <c r="AD885" s="41">
        <v>15000</v>
      </c>
      <c r="AE885" s="1">
        <f t="shared" si="888"/>
        <v>-15000</v>
      </c>
      <c r="AF885" s="1">
        <f t="shared" si="889"/>
        <v>15000</v>
      </c>
    </row>
    <row r="886" spans="1:32" outlineLevel="2">
      <c r="A886" s="11">
        <v>93100</v>
      </c>
      <c r="B886" s="11">
        <v>21300</v>
      </c>
      <c r="C886" s="11" t="s">
        <v>497</v>
      </c>
      <c r="D886" s="7">
        <v>1202.02</v>
      </c>
      <c r="E886" s="7"/>
      <c r="F886" s="7">
        <f t="shared" si="860"/>
        <v>1202.02</v>
      </c>
      <c r="G886" s="7">
        <v>-202.02</v>
      </c>
      <c r="H886" s="7">
        <f t="shared" si="877"/>
        <v>1000</v>
      </c>
      <c r="I886" s="1"/>
      <c r="J886" s="1">
        <f t="shared" si="891"/>
        <v>1000</v>
      </c>
      <c r="K886" s="1"/>
      <c r="L886" s="1">
        <f t="shared" si="878"/>
        <v>1000</v>
      </c>
      <c r="N886" s="1">
        <f t="shared" si="879"/>
        <v>1000</v>
      </c>
      <c r="O886" s="1"/>
      <c r="Q886" s="1">
        <f t="shared" si="881"/>
        <v>1000</v>
      </c>
      <c r="S886" s="1">
        <v>3000</v>
      </c>
      <c r="T886" s="1">
        <f t="shared" si="883"/>
        <v>4000</v>
      </c>
      <c r="U886" s="1">
        <v>4000</v>
      </c>
      <c r="V886" s="1">
        <f t="shared" si="884"/>
        <v>0</v>
      </c>
      <c r="W886" s="1">
        <f t="shared" si="885"/>
        <v>4000</v>
      </c>
      <c r="X886" s="1">
        <v>4000</v>
      </c>
      <c r="Y886" s="41">
        <f t="shared" si="848"/>
        <v>0</v>
      </c>
      <c r="Z886" s="1">
        <f t="shared" si="886"/>
        <v>4000</v>
      </c>
      <c r="AA886" s="1">
        <v>4000</v>
      </c>
      <c r="AB886" s="1">
        <f t="shared" si="890"/>
        <v>0</v>
      </c>
      <c r="AC886" s="1">
        <f t="shared" si="887"/>
        <v>4000</v>
      </c>
      <c r="AD886" s="41">
        <v>3000</v>
      </c>
      <c r="AE886" s="1">
        <f t="shared" si="888"/>
        <v>-1000</v>
      </c>
      <c r="AF886" s="1">
        <f t="shared" si="889"/>
        <v>3000</v>
      </c>
    </row>
    <row r="887" spans="1:32" outlineLevel="2">
      <c r="A887" s="11">
        <v>93100</v>
      </c>
      <c r="B887" s="11">
        <v>22000</v>
      </c>
      <c r="C887" s="11" t="s">
        <v>498</v>
      </c>
      <c r="D887" s="7">
        <v>9616.19</v>
      </c>
      <c r="E887" s="7"/>
      <c r="F887" s="7">
        <f t="shared" si="860"/>
        <v>9616.19</v>
      </c>
      <c r="G887" s="7">
        <v>-616.19000000000005</v>
      </c>
      <c r="H887" s="7">
        <f t="shared" si="877"/>
        <v>9000</v>
      </c>
      <c r="I887" s="1"/>
      <c r="J887" s="1">
        <f t="shared" si="891"/>
        <v>9000</v>
      </c>
      <c r="K887" s="1"/>
      <c r="L887" s="1">
        <f t="shared" si="878"/>
        <v>9000</v>
      </c>
      <c r="N887" s="1">
        <f t="shared" si="879"/>
        <v>9000</v>
      </c>
      <c r="O887" s="1"/>
      <c r="Q887" s="1">
        <f t="shared" si="881"/>
        <v>9000</v>
      </c>
      <c r="S887" s="1">
        <v>2000</v>
      </c>
      <c r="T887" s="1">
        <f t="shared" si="883"/>
        <v>11000</v>
      </c>
      <c r="U887" s="1">
        <v>11000</v>
      </c>
      <c r="V887" s="1">
        <f t="shared" si="884"/>
        <v>0</v>
      </c>
      <c r="W887" s="1">
        <f t="shared" si="885"/>
        <v>11000</v>
      </c>
      <c r="X887" s="1">
        <v>10000</v>
      </c>
      <c r="Y887" s="41">
        <f t="shared" si="848"/>
        <v>-1000</v>
      </c>
      <c r="Z887" s="1">
        <f t="shared" si="886"/>
        <v>10000</v>
      </c>
      <c r="AA887" s="1">
        <v>10000</v>
      </c>
      <c r="AB887" s="1">
        <f t="shared" si="890"/>
        <v>0</v>
      </c>
      <c r="AC887" s="1">
        <f t="shared" si="887"/>
        <v>10000</v>
      </c>
      <c r="AD887" s="41">
        <v>6000</v>
      </c>
      <c r="AE887" s="1">
        <f t="shared" si="888"/>
        <v>-4000</v>
      </c>
      <c r="AF887" s="1">
        <f t="shared" si="889"/>
        <v>6000</v>
      </c>
    </row>
    <row r="888" spans="1:32" outlineLevel="2">
      <c r="A888" s="11">
        <v>93100</v>
      </c>
      <c r="B888" s="11">
        <v>22500</v>
      </c>
      <c r="C888" s="39" t="s">
        <v>674</v>
      </c>
      <c r="D888" s="7"/>
      <c r="E888" s="7"/>
      <c r="F888" s="7"/>
      <c r="G888" s="7"/>
      <c r="H888" s="7"/>
      <c r="I888" s="1"/>
      <c r="J888" s="1"/>
      <c r="K888" s="1"/>
      <c r="L888" s="1"/>
      <c r="N888" s="1"/>
      <c r="O888" s="1"/>
      <c r="Q888" s="1">
        <v>0</v>
      </c>
      <c r="S888" s="1">
        <v>2500</v>
      </c>
      <c r="T888" s="1">
        <f t="shared" si="883"/>
        <v>2500</v>
      </c>
      <c r="U888" s="1">
        <v>2500</v>
      </c>
      <c r="V888" s="1">
        <f t="shared" si="884"/>
        <v>0</v>
      </c>
      <c r="W888" s="1">
        <f t="shared" si="885"/>
        <v>2500</v>
      </c>
      <c r="X888" s="1">
        <v>2500</v>
      </c>
      <c r="Y888" s="41">
        <f t="shared" si="848"/>
        <v>0</v>
      </c>
      <c r="Z888" s="1">
        <f t="shared" si="886"/>
        <v>2500</v>
      </c>
      <c r="AA888" s="1">
        <v>2500</v>
      </c>
      <c r="AB888" s="1">
        <f t="shared" si="890"/>
        <v>0</v>
      </c>
      <c r="AC888" s="1">
        <f t="shared" si="887"/>
        <v>2500</v>
      </c>
      <c r="AD888" s="41">
        <v>2000</v>
      </c>
      <c r="AE888" s="1">
        <f t="shared" si="888"/>
        <v>-500</v>
      </c>
      <c r="AF888" s="1">
        <f t="shared" si="889"/>
        <v>2000</v>
      </c>
    </row>
    <row r="889" spans="1:32" outlineLevel="2">
      <c r="A889" s="11">
        <v>93100</v>
      </c>
      <c r="B889" s="11">
        <v>22502</v>
      </c>
      <c r="C889" s="11" t="s">
        <v>660</v>
      </c>
      <c r="D889" s="7"/>
      <c r="E889" s="7"/>
      <c r="F889" s="7"/>
      <c r="G889" s="7"/>
      <c r="H889" s="7"/>
      <c r="I889" s="1"/>
      <c r="J889" s="1"/>
      <c r="K889" s="1"/>
      <c r="L889" s="1"/>
      <c r="N889" s="1">
        <v>0</v>
      </c>
      <c r="O889" s="1"/>
      <c r="P889" s="1">
        <v>5000</v>
      </c>
      <c r="Q889" s="1">
        <f t="shared" si="881"/>
        <v>5000</v>
      </c>
      <c r="S889" s="1">
        <v>-2500</v>
      </c>
      <c r="T889" s="1">
        <f t="shared" si="883"/>
        <v>2500</v>
      </c>
      <c r="U889" s="1">
        <v>2500</v>
      </c>
      <c r="V889" s="1">
        <f t="shared" si="884"/>
        <v>0</v>
      </c>
      <c r="W889" s="1">
        <f t="shared" si="885"/>
        <v>2500</v>
      </c>
      <c r="X889" s="1">
        <v>25000</v>
      </c>
      <c r="Y889" s="41">
        <f t="shared" si="848"/>
        <v>22500</v>
      </c>
      <c r="Z889" s="1">
        <f t="shared" si="886"/>
        <v>25000</v>
      </c>
      <c r="AA889" s="1">
        <v>20000</v>
      </c>
      <c r="AB889" s="1">
        <f t="shared" si="890"/>
        <v>-5000</v>
      </c>
      <c r="AC889" s="1">
        <f t="shared" si="887"/>
        <v>20000</v>
      </c>
      <c r="AD889" s="41">
        <f>15000+1050000</f>
        <v>1065000</v>
      </c>
      <c r="AE889" s="1">
        <f t="shared" si="888"/>
        <v>1045000</v>
      </c>
      <c r="AF889" s="1">
        <f t="shared" si="889"/>
        <v>1065000</v>
      </c>
    </row>
    <row r="890" spans="1:32" outlineLevel="2">
      <c r="A890" s="11">
        <v>93100</v>
      </c>
      <c r="B890" s="11">
        <v>22699</v>
      </c>
      <c r="C890" s="11" t="s">
        <v>499</v>
      </c>
      <c r="D890" s="7">
        <v>4000</v>
      </c>
      <c r="E890" s="7"/>
      <c r="F890" s="7">
        <f t="shared" si="860"/>
        <v>4000</v>
      </c>
      <c r="G890" s="7">
        <v>100000</v>
      </c>
      <c r="H890" s="7">
        <f t="shared" si="877"/>
        <v>104000</v>
      </c>
      <c r="I890" s="1"/>
      <c r="J890" s="1">
        <f t="shared" si="891"/>
        <v>104000</v>
      </c>
      <c r="K890" s="1">
        <v>10000</v>
      </c>
      <c r="L890" s="1">
        <f t="shared" si="878"/>
        <v>114000</v>
      </c>
      <c r="M890" s="7">
        <v>35000</v>
      </c>
      <c r="N890" s="1">
        <f t="shared" si="879"/>
        <v>149000</v>
      </c>
      <c r="O890" s="1"/>
      <c r="Q890" s="1">
        <f t="shared" si="881"/>
        <v>149000</v>
      </c>
      <c r="T890" s="1">
        <f t="shared" si="883"/>
        <v>149000</v>
      </c>
      <c r="U890" s="1">
        <v>70000</v>
      </c>
      <c r="V890" s="1">
        <f t="shared" si="884"/>
        <v>-79000</v>
      </c>
      <c r="W890" s="1">
        <f t="shared" si="885"/>
        <v>70000</v>
      </c>
      <c r="X890" s="1">
        <v>40000</v>
      </c>
      <c r="Y890" s="41">
        <f t="shared" si="848"/>
        <v>-30000</v>
      </c>
      <c r="Z890" s="1">
        <f t="shared" si="886"/>
        <v>40000</v>
      </c>
      <c r="AA890" s="1">
        <v>10000</v>
      </c>
      <c r="AB890" s="1">
        <f t="shared" si="890"/>
        <v>-30000</v>
      </c>
      <c r="AC890" s="1">
        <f t="shared" si="887"/>
        <v>10000</v>
      </c>
      <c r="AD890" s="41">
        <v>10000</v>
      </c>
      <c r="AE890" s="1">
        <f t="shared" si="888"/>
        <v>0</v>
      </c>
      <c r="AF890" s="1">
        <f t="shared" si="889"/>
        <v>10000</v>
      </c>
    </row>
    <row r="891" spans="1:32" outlineLevel="2">
      <c r="A891" s="11">
        <v>93100</v>
      </c>
      <c r="B891" s="11">
        <v>22706</v>
      </c>
      <c r="C891" s="39" t="s">
        <v>733</v>
      </c>
      <c r="D891" s="7"/>
      <c r="E891" s="7"/>
      <c r="F891" s="7"/>
      <c r="G891" s="7"/>
      <c r="H891" s="7"/>
      <c r="I891" s="1"/>
      <c r="J891" s="1"/>
      <c r="K891" s="1"/>
      <c r="L891" s="1"/>
      <c r="N891" s="1"/>
      <c r="O891" s="1"/>
      <c r="T891" s="1">
        <v>0</v>
      </c>
      <c r="U891" s="1">
        <v>160000</v>
      </c>
      <c r="V891" s="1">
        <f t="shared" si="884"/>
        <v>160000</v>
      </c>
      <c r="W891" s="1">
        <f t="shared" si="885"/>
        <v>160000</v>
      </c>
      <c r="X891" s="1">
        <v>60000</v>
      </c>
      <c r="Y891" s="41">
        <f t="shared" si="848"/>
        <v>-100000</v>
      </c>
      <c r="Z891" s="1">
        <f t="shared" si="886"/>
        <v>60000</v>
      </c>
      <c r="AA891" s="1">
        <f>60000+87500</f>
        <v>147500</v>
      </c>
      <c r="AB891" s="1">
        <f t="shared" si="890"/>
        <v>87500</v>
      </c>
      <c r="AC891" s="1">
        <f t="shared" si="887"/>
        <v>147500</v>
      </c>
      <c r="AD891" s="41">
        <v>150000</v>
      </c>
      <c r="AE891" s="1">
        <f t="shared" si="888"/>
        <v>2500</v>
      </c>
      <c r="AF891" s="1">
        <f t="shared" si="889"/>
        <v>150000</v>
      </c>
    </row>
    <row r="892" spans="1:32" outlineLevel="2">
      <c r="A892" s="11">
        <v>93100</v>
      </c>
      <c r="B892" s="11">
        <v>22708</v>
      </c>
      <c r="C892" s="11" t="s">
        <v>500</v>
      </c>
      <c r="D892" s="7">
        <v>1170000</v>
      </c>
      <c r="E892" s="7">
        <v>1200000</v>
      </c>
      <c r="F892" s="7">
        <f t="shared" si="860"/>
        <v>-30000</v>
      </c>
      <c r="G892" s="7">
        <v>30000</v>
      </c>
      <c r="H892" s="7">
        <f t="shared" si="877"/>
        <v>1200000</v>
      </c>
      <c r="I892" s="1"/>
      <c r="J892" s="1">
        <f t="shared" si="891"/>
        <v>1200000</v>
      </c>
      <c r="K892" s="1"/>
      <c r="L892" s="1">
        <f t="shared" si="878"/>
        <v>1200000</v>
      </c>
      <c r="N892" s="1">
        <f t="shared" si="879"/>
        <v>1200000</v>
      </c>
      <c r="O892" s="1"/>
      <c r="P892" s="1">
        <v>30000</v>
      </c>
      <c r="Q892" s="1">
        <f t="shared" si="881"/>
        <v>1230000</v>
      </c>
      <c r="S892" s="1">
        <v>-30000</v>
      </c>
      <c r="T892" s="1">
        <f t="shared" si="883"/>
        <v>1200000</v>
      </c>
      <c r="U892" s="1">
        <v>1200000</v>
      </c>
      <c r="V892" s="1">
        <f t="shared" si="884"/>
        <v>0</v>
      </c>
      <c r="W892" s="1">
        <f t="shared" si="885"/>
        <v>1200000</v>
      </c>
      <c r="X892" s="1">
        <v>1225000</v>
      </c>
      <c r="Y892" s="41">
        <f t="shared" si="848"/>
        <v>25000</v>
      </c>
      <c r="Z892" s="1">
        <f t="shared" si="886"/>
        <v>1225000</v>
      </c>
      <c r="AA892" s="1">
        <f>1225000+20000</f>
        <v>1245000</v>
      </c>
      <c r="AB892" s="1">
        <f t="shared" si="890"/>
        <v>20000</v>
      </c>
      <c r="AC892" s="1">
        <f t="shared" si="887"/>
        <v>1245000</v>
      </c>
      <c r="AD892" s="41">
        <v>0</v>
      </c>
      <c r="AE892" s="1">
        <f t="shared" si="888"/>
        <v>-1245000</v>
      </c>
      <c r="AF892" s="1">
        <f t="shared" si="889"/>
        <v>0</v>
      </c>
    </row>
    <row r="893" spans="1:32" outlineLevel="2">
      <c r="A893" s="11">
        <v>93100</v>
      </c>
      <c r="B893" s="11">
        <v>23001</v>
      </c>
      <c r="C893" s="11" t="s">
        <v>501</v>
      </c>
      <c r="D893" s="7">
        <v>1202.02</v>
      </c>
      <c r="E893" s="7"/>
      <c r="F893" s="7">
        <f t="shared" si="860"/>
        <v>1202.02</v>
      </c>
      <c r="G893" s="7">
        <v>-202</v>
      </c>
      <c r="H893" s="7">
        <f t="shared" si="877"/>
        <v>1000.02</v>
      </c>
      <c r="I893" s="1"/>
      <c r="J893" s="1">
        <f t="shared" si="891"/>
        <v>1000.02</v>
      </c>
      <c r="K893" s="1"/>
      <c r="L893" s="1">
        <f t="shared" si="878"/>
        <v>1000.02</v>
      </c>
      <c r="N893" s="1">
        <f t="shared" si="879"/>
        <v>1000.02</v>
      </c>
      <c r="O893" s="1"/>
      <c r="Q893" s="1">
        <f t="shared" si="881"/>
        <v>1000.02</v>
      </c>
      <c r="T893" s="1">
        <f t="shared" si="883"/>
        <v>1000.02</v>
      </c>
      <c r="U893" s="1">
        <v>1000</v>
      </c>
      <c r="V893" s="1">
        <f t="shared" si="884"/>
        <v>-1.999999999998181E-2</v>
      </c>
      <c r="W893" s="1">
        <f t="shared" si="885"/>
        <v>1000</v>
      </c>
      <c r="X893" s="1">
        <v>1000</v>
      </c>
      <c r="Y893" s="41">
        <f t="shared" si="848"/>
        <v>0</v>
      </c>
      <c r="Z893" s="1">
        <f t="shared" si="886"/>
        <v>1000</v>
      </c>
      <c r="AA893" s="1">
        <v>1000</v>
      </c>
      <c r="AB893" s="1">
        <f t="shared" si="890"/>
        <v>0</v>
      </c>
      <c r="AC893" s="1">
        <f t="shared" si="887"/>
        <v>1000</v>
      </c>
      <c r="AD893" s="41">
        <v>1000</v>
      </c>
      <c r="AE893" s="1">
        <f t="shared" si="888"/>
        <v>0</v>
      </c>
      <c r="AF893" s="1">
        <f t="shared" si="889"/>
        <v>1000</v>
      </c>
    </row>
    <row r="894" spans="1:32" outlineLevel="2">
      <c r="A894" s="11">
        <v>93100</v>
      </c>
      <c r="B894" s="11">
        <v>23100</v>
      </c>
      <c r="C894" s="11" t="s">
        <v>502</v>
      </c>
      <c r="D894" s="7">
        <v>1202.02</v>
      </c>
      <c r="E894" s="7"/>
      <c r="F894" s="7">
        <f t="shared" si="860"/>
        <v>1202.02</v>
      </c>
      <c r="G894" s="7">
        <v>-202.02</v>
      </c>
      <c r="H894" s="7">
        <f t="shared" si="877"/>
        <v>1000</v>
      </c>
      <c r="I894" s="1"/>
      <c r="J894" s="1">
        <f t="shared" si="891"/>
        <v>1000</v>
      </c>
      <c r="K894" s="1"/>
      <c r="L894" s="1">
        <f t="shared" si="878"/>
        <v>1000</v>
      </c>
      <c r="M894" s="8"/>
      <c r="N894" s="1">
        <f t="shared" si="879"/>
        <v>1000</v>
      </c>
      <c r="O894" s="1"/>
      <c r="Q894" s="1">
        <f t="shared" si="881"/>
        <v>1000</v>
      </c>
      <c r="T894" s="1">
        <f t="shared" si="883"/>
        <v>1000</v>
      </c>
      <c r="U894" s="1">
        <v>1000</v>
      </c>
      <c r="V894" s="1">
        <f t="shared" si="884"/>
        <v>0</v>
      </c>
      <c r="W894" s="1">
        <f t="shared" si="885"/>
        <v>1000</v>
      </c>
      <c r="X894" s="1">
        <v>1000</v>
      </c>
      <c r="Y894" s="41">
        <f t="shared" si="848"/>
        <v>0</v>
      </c>
      <c r="Z894" s="1">
        <f t="shared" si="886"/>
        <v>1000</v>
      </c>
      <c r="AA894" s="1">
        <v>1000</v>
      </c>
      <c r="AB894" s="1">
        <f t="shared" si="890"/>
        <v>0</v>
      </c>
      <c r="AC894" s="1">
        <f t="shared" si="887"/>
        <v>1000</v>
      </c>
      <c r="AD894" s="41">
        <v>1000</v>
      </c>
      <c r="AE894" s="1">
        <f t="shared" si="888"/>
        <v>0</v>
      </c>
      <c r="AF894" s="1">
        <f t="shared" si="889"/>
        <v>1000</v>
      </c>
    </row>
    <row r="895" spans="1:32" outlineLevel="2">
      <c r="A895" s="11">
        <v>93100</v>
      </c>
      <c r="B895" s="11">
        <v>35200</v>
      </c>
      <c r="C895" s="11" t="s">
        <v>503</v>
      </c>
      <c r="D895" s="7">
        <v>0</v>
      </c>
      <c r="E895" s="7"/>
      <c r="F895" s="7">
        <f>D895-E895</f>
        <v>0</v>
      </c>
      <c r="G895" s="7">
        <v>30000</v>
      </c>
      <c r="H895" s="7">
        <f>D895+G895</f>
        <v>30000</v>
      </c>
      <c r="I895" s="1"/>
      <c r="J895" s="1">
        <f t="shared" si="891"/>
        <v>30000</v>
      </c>
      <c r="K895" s="1">
        <v>40000</v>
      </c>
      <c r="L895" s="1">
        <f t="shared" si="878"/>
        <v>70000</v>
      </c>
      <c r="M895" s="7">
        <v>80000</v>
      </c>
      <c r="N895" s="1">
        <f t="shared" si="879"/>
        <v>150000</v>
      </c>
      <c r="O895" s="1"/>
      <c r="P895" s="1">
        <v>50000</v>
      </c>
      <c r="Q895" s="1">
        <f t="shared" si="881"/>
        <v>200000</v>
      </c>
      <c r="R895" s="1">
        <v>300000</v>
      </c>
      <c r="S895" s="1">
        <f>R895-Q895</f>
        <v>100000</v>
      </c>
      <c r="T895" s="1">
        <f t="shared" si="883"/>
        <v>300000</v>
      </c>
      <c r="U895" s="1">
        <v>300000</v>
      </c>
      <c r="V895" s="1">
        <f t="shared" si="884"/>
        <v>0</v>
      </c>
      <c r="W895" s="1">
        <f t="shared" si="885"/>
        <v>300000</v>
      </c>
      <c r="X895" s="1">
        <v>400000</v>
      </c>
      <c r="Y895" s="41">
        <f t="shared" si="848"/>
        <v>100000</v>
      </c>
      <c r="Z895" s="1">
        <f t="shared" si="886"/>
        <v>400000</v>
      </c>
      <c r="AA895" s="1">
        <v>2000000</v>
      </c>
      <c r="AB895" s="1">
        <f t="shared" si="890"/>
        <v>1600000</v>
      </c>
      <c r="AC895" s="1">
        <f t="shared" si="887"/>
        <v>2000000</v>
      </c>
      <c r="AD895" s="41">
        <v>460000</v>
      </c>
      <c r="AE895" s="1">
        <f t="shared" ref="AE895" si="896">AD895-AC895</f>
        <v>-1540000</v>
      </c>
      <c r="AF895" s="1">
        <f t="shared" ref="AF895" si="897">AC895+AE895</f>
        <v>460000</v>
      </c>
    </row>
    <row r="896" spans="1:32" outlineLevel="2">
      <c r="A896" s="11">
        <v>93100</v>
      </c>
      <c r="B896" s="11">
        <v>35900</v>
      </c>
      <c r="C896" s="11" t="s">
        <v>504</v>
      </c>
      <c r="D896" s="7">
        <v>0</v>
      </c>
      <c r="E896" s="7">
        <v>100000</v>
      </c>
      <c r="F896" s="7">
        <f>D896-E896</f>
        <v>-100000</v>
      </c>
      <c r="G896" s="7">
        <v>100000</v>
      </c>
      <c r="H896" s="7">
        <f>D896+G896</f>
        <v>100000</v>
      </c>
      <c r="I896" s="3"/>
      <c r="J896" s="1">
        <f t="shared" si="891"/>
        <v>100000</v>
      </c>
      <c r="K896" s="16">
        <v>-30000</v>
      </c>
      <c r="L896" s="1">
        <f t="shared" si="878"/>
        <v>70000</v>
      </c>
      <c r="M896" s="7">
        <v>70000</v>
      </c>
      <c r="N896" s="1">
        <f t="shared" si="879"/>
        <v>140000</v>
      </c>
      <c r="O896" s="1"/>
      <c r="P896" s="1">
        <v>20000</v>
      </c>
      <c r="Q896" s="1">
        <f t="shared" si="881"/>
        <v>160000</v>
      </c>
      <c r="T896" s="1">
        <f t="shared" si="883"/>
        <v>160000</v>
      </c>
      <c r="U896" s="1">
        <v>140000</v>
      </c>
      <c r="V896" s="1">
        <f t="shared" si="884"/>
        <v>-20000</v>
      </c>
      <c r="W896" s="1">
        <f t="shared" si="885"/>
        <v>140000</v>
      </c>
      <c r="X896" s="1">
        <v>40000</v>
      </c>
      <c r="Y896" s="41">
        <f t="shared" si="848"/>
        <v>-100000</v>
      </c>
      <c r="Z896" s="1">
        <f t="shared" si="886"/>
        <v>40000</v>
      </c>
      <c r="AA896" s="1">
        <v>40000</v>
      </c>
      <c r="AB896" s="1">
        <f t="shared" si="890"/>
        <v>0</v>
      </c>
      <c r="AC896" s="1">
        <f t="shared" si="887"/>
        <v>40000</v>
      </c>
      <c r="AD896" s="41">
        <v>30000</v>
      </c>
      <c r="AE896" s="1">
        <f t="shared" si="888"/>
        <v>-10000</v>
      </c>
      <c r="AF896" s="1">
        <f t="shared" si="889"/>
        <v>30000</v>
      </c>
    </row>
    <row r="897" spans="1:32" outlineLevel="2">
      <c r="A897" s="9" t="s">
        <v>27</v>
      </c>
      <c r="B897" s="9"/>
      <c r="C897" s="9" t="s">
        <v>53</v>
      </c>
      <c r="D897" s="8">
        <f t="shared" ref="D897:L897" si="898">SUBTOTAL(9,D874:D896)</f>
        <v>1956799.77</v>
      </c>
      <c r="E897" s="8">
        <f t="shared" si="898"/>
        <v>2065564.97</v>
      </c>
      <c r="F897" s="8">
        <f t="shared" si="898"/>
        <v>-108765.19999999998</v>
      </c>
      <c r="G897" s="8">
        <f t="shared" si="898"/>
        <v>254765.21999999997</v>
      </c>
      <c r="H897" s="8">
        <f t="shared" si="898"/>
        <v>2211564.9900000002</v>
      </c>
      <c r="I897" s="8">
        <f t="shared" si="898"/>
        <v>685215.8</v>
      </c>
      <c r="J897" s="8">
        <f t="shared" si="898"/>
        <v>1526349.19</v>
      </c>
      <c r="K897" s="8">
        <f>SUBTOTAL(9,K874:K896)</f>
        <v>-60349.17</v>
      </c>
      <c r="L897" s="8">
        <f t="shared" si="898"/>
        <v>2151215.8200000003</v>
      </c>
      <c r="M897" s="8">
        <f>SUBTOTAL(9,M874:M896)</f>
        <v>162949.81</v>
      </c>
      <c r="N897" s="8">
        <f>SUBTOTAL(9,N874:N896)</f>
        <v>2314165.63</v>
      </c>
      <c r="O897" s="8">
        <f>SUBTOTAL(9,O874:O896)</f>
        <v>632567.12</v>
      </c>
      <c r="P897" s="8">
        <f>SUBTOTAL(9,P874:P896)</f>
        <v>74401.50999999998</v>
      </c>
      <c r="Q897" s="8">
        <f>SUBTOTAL(9,Q874:Q896)</f>
        <v>2388567.14</v>
      </c>
      <c r="S897" s="8">
        <f t="shared" ref="S897:AF897" si="899">SUBTOTAL(9,S874:S896)</f>
        <v>90818.5</v>
      </c>
      <c r="T897" s="8">
        <f t="shared" si="899"/>
        <v>2479385.64</v>
      </c>
      <c r="U897" s="8">
        <f t="shared" si="899"/>
        <v>2619596.71</v>
      </c>
      <c r="V897" s="8">
        <f t="shared" si="899"/>
        <v>140211.07</v>
      </c>
      <c r="W897" s="8">
        <f t="shared" si="899"/>
        <v>2619596.71</v>
      </c>
      <c r="X897" s="8">
        <f t="shared" si="899"/>
        <v>2744005.35</v>
      </c>
      <c r="Y897" s="8">
        <f t="shared" si="899"/>
        <v>124408.64000000004</v>
      </c>
      <c r="Z897" s="8">
        <f t="shared" si="899"/>
        <v>2744005.35</v>
      </c>
      <c r="AA897" s="8">
        <f t="shared" si="899"/>
        <v>4339674.5600000005</v>
      </c>
      <c r="AB897" s="8">
        <f t="shared" si="899"/>
        <v>1595669.21</v>
      </c>
      <c r="AC897" s="8">
        <f t="shared" si="899"/>
        <v>4339674.5600000005</v>
      </c>
      <c r="AD897" s="8">
        <f t="shared" si="899"/>
        <v>2817367.31</v>
      </c>
      <c r="AE897" s="8">
        <f t="shared" si="899"/>
        <v>-1522307.25</v>
      </c>
      <c r="AF897" s="8">
        <f t="shared" si="899"/>
        <v>2817367.31</v>
      </c>
    </row>
    <row r="898" spans="1:32" outlineLevel="2">
      <c r="A898" s="66" t="s">
        <v>61</v>
      </c>
      <c r="B898" s="14"/>
      <c r="C898" s="14"/>
      <c r="D898" s="15">
        <f t="shared" ref="D898:J898" si="900">SUBTOTAL(9,D2:D896)</f>
        <v>39612192.550000004</v>
      </c>
      <c r="E898" s="15">
        <f t="shared" si="900"/>
        <v>29546422.761379324</v>
      </c>
      <c r="F898" s="15">
        <f t="shared" si="900"/>
        <v>10065769.788620684</v>
      </c>
      <c r="G898" s="15">
        <f t="shared" si="900"/>
        <v>1612838.2299999993</v>
      </c>
      <c r="H898" s="15">
        <f t="shared" si="900"/>
        <v>41225030.779999994</v>
      </c>
      <c r="I898" s="15">
        <f t="shared" si="900"/>
        <v>31483868.719999969</v>
      </c>
      <c r="J898" s="15">
        <f t="shared" si="900"/>
        <v>9741162.0599999949</v>
      </c>
      <c r="K898" s="15">
        <f>SUBTOTAL(9,K2:K897)</f>
        <v>805253.6799999997</v>
      </c>
      <c r="L898" s="15">
        <f t="shared" ref="L898:AE898" si="901">SUBTOTAL(9,L2:L896)</f>
        <v>43414640.929999962</v>
      </c>
      <c r="M898" s="38">
        <f t="shared" si="901"/>
        <v>843546.86000000115</v>
      </c>
      <c r="N898" s="15">
        <f t="shared" si="901"/>
        <v>44138687.789999992</v>
      </c>
      <c r="O898" s="15">
        <f t="shared" si="901"/>
        <v>16823458.720000006</v>
      </c>
      <c r="P898" s="15">
        <f t="shared" si="901"/>
        <v>1733755.8699999999</v>
      </c>
      <c r="Q898" s="15">
        <f t="shared" si="901"/>
        <v>45672443.659999982</v>
      </c>
      <c r="R898" s="15">
        <f t="shared" si="901"/>
        <v>26442526.414999995</v>
      </c>
      <c r="S898" s="15">
        <f t="shared" si="901"/>
        <v>-1332792.7799999993</v>
      </c>
      <c r="T898" s="15">
        <f t="shared" si="901"/>
        <v>44360147.609999947</v>
      </c>
      <c r="U898" s="15">
        <f t="shared" si="901"/>
        <v>47646506.439999931</v>
      </c>
      <c r="V898" s="15">
        <f t="shared" si="901"/>
        <v>3286358.83</v>
      </c>
      <c r="W898" s="15">
        <f t="shared" si="901"/>
        <v>47046506.439999931</v>
      </c>
      <c r="X898" s="15">
        <f t="shared" si="901"/>
        <v>48959897.763000004</v>
      </c>
      <c r="Y898" s="15">
        <f t="shared" si="901"/>
        <v>1913391.3230000031</v>
      </c>
      <c r="Z898" s="15">
        <f t="shared" si="901"/>
        <v>49058969.043000005</v>
      </c>
      <c r="AA898" s="15">
        <f t="shared" si="901"/>
        <v>51810355.759999931</v>
      </c>
      <c r="AB898" s="15">
        <f t="shared" si="901"/>
        <v>2746423.4370000008</v>
      </c>
      <c r="AC898" s="15">
        <f t="shared" si="901"/>
        <v>51905695.009999931</v>
      </c>
      <c r="AD898" s="15">
        <f t="shared" si="901"/>
        <v>53002605.5418</v>
      </c>
      <c r="AE898" s="15">
        <f t="shared" si="901"/>
        <v>1096910.5318000037</v>
      </c>
      <c r="AF898" s="15">
        <f>SUM(AF5+AF34+AF64+AF84+AF95+AF133+AF137+AF144+AF146+AF162+AF182+AF224+AF254+AF256+AF295+AF319+AF332+AF367+AF371+AF375+AF409+AF430+AF468+AF496+AF538+AF553+AF594+AF600+AF606+AF618+AF657+AF672+AF678+AF709+AF721+AF750+AF827+AF839+AF858+AF873+AF897)</f>
        <v>53002605.541800015</v>
      </c>
    </row>
    <row r="899" spans="1:32" outlineLevel="2"/>
    <row r="900" spans="1:32" outlineLevel="2"/>
    <row r="901" spans="1:32" outlineLevel="2">
      <c r="O901" s="1"/>
    </row>
    <row r="902" spans="1:32" outlineLevel="2">
      <c r="AC902" s="1"/>
    </row>
    <row r="903" spans="1:32" outlineLevel="2"/>
    <row r="904" spans="1:32" outlineLevel="2"/>
    <row r="905" spans="1:32" outlineLevel="2"/>
    <row r="906" spans="1:32" outlineLevel="2"/>
    <row r="907" spans="1:32" outlineLevel="2"/>
    <row r="908" spans="1:32" outlineLevel="2"/>
    <row r="909" spans="1:32" outlineLevel="2"/>
    <row r="910" spans="1:32" outlineLevel="2"/>
    <row r="911" spans="1:32" outlineLevel="2"/>
    <row r="912" spans="1:32" outlineLevel="2"/>
    <row r="913" outlineLevel="2"/>
    <row r="914" outlineLevel="2"/>
    <row r="915" outlineLevel="2"/>
    <row r="916" outlineLevel="2"/>
    <row r="917" outlineLevel="2"/>
    <row r="918" outlineLevel="2"/>
    <row r="919" outlineLevel="2"/>
    <row r="920" outlineLevel="2"/>
    <row r="921" outlineLevel="2"/>
    <row r="922" outlineLevel="2"/>
    <row r="923" outlineLevel="2"/>
    <row r="924" outlineLevel="2"/>
    <row r="925" outlineLevel="2"/>
    <row r="926" outlineLevel="2"/>
    <row r="927" outlineLevel="2"/>
    <row r="928" outlineLevel="2"/>
    <row r="929" spans="1:30" outlineLevel="2"/>
    <row r="930" spans="1:30" s="2" customFormat="1" outlineLevel="1">
      <c r="A930" s="11"/>
      <c r="B930"/>
      <c r="C930"/>
      <c r="D930"/>
      <c r="E930"/>
      <c r="F930"/>
      <c r="G930"/>
      <c r="H930"/>
      <c r="I930"/>
      <c r="J930"/>
      <c r="K930"/>
      <c r="L930"/>
      <c r="M930" s="7"/>
      <c r="N930"/>
      <c r="O930"/>
      <c r="P930" s="3"/>
      <c r="Q930" s="3"/>
      <c r="R930" s="3"/>
      <c r="S930" s="3"/>
      <c r="U930" s="3"/>
      <c r="X930" s="3"/>
      <c r="AA930" s="3"/>
      <c r="AD930" s="41"/>
    </row>
    <row r="931" spans="1:30" outlineLevel="2"/>
    <row r="932" spans="1:30" outlineLevel="2"/>
    <row r="933" spans="1:30" outlineLevel="2"/>
    <row r="934" spans="1:30" outlineLevel="2"/>
    <row r="935" spans="1:30" outlineLevel="2"/>
    <row r="936" spans="1:30" outlineLevel="2"/>
    <row r="937" spans="1:30" outlineLevel="2"/>
    <row r="938" spans="1:30" outlineLevel="2"/>
    <row r="939" spans="1:30" outlineLevel="2"/>
    <row r="940" spans="1:30" outlineLevel="2"/>
    <row r="941" spans="1:30" outlineLevel="2"/>
    <row r="942" spans="1:30" outlineLevel="2"/>
    <row r="943" spans="1:30" outlineLevel="2"/>
    <row r="944" spans="1:30" outlineLevel="2"/>
    <row r="945" spans="1:30" s="2" customFormat="1" outlineLevel="1">
      <c r="A945" s="11"/>
      <c r="B945"/>
      <c r="C945"/>
      <c r="D945"/>
      <c r="E945"/>
      <c r="F945"/>
      <c r="G945"/>
      <c r="H945"/>
      <c r="I945"/>
      <c r="J945"/>
      <c r="K945"/>
      <c r="L945"/>
      <c r="M945" s="7"/>
      <c r="N945"/>
      <c r="O945"/>
      <c r="P945" s="3"/>
      <c r="Q945" s="3"/>
      <c r="R945" s="3"/>
      <c r="S945" s="3"/>
      <c r="U945" s="3"/>
      <c r="X945" s="3"/>
      <c r="AA945" s="3"/>
      <c r="AD945" s="41"/>
    </row>
    <row r="946" spans="1:30" outlineLevel="2"/>
    <row r="947" spans="1:30" outlineLevel="2"/>
    <row r="948" spans="1:30" outlineLevel="2"/>
    <row r="949" spans="1:30" outlineLevel="2"/>
    <row r="950" spans="1:30" outlineLevel="2"/>
    <row r="951" spans="1:30" outlineLevel="2"/>
    <row r="952" spans="1:30" outlineLevel="2"/>
    <row r="953" spans="1:30" outlineLevel="2"/>
    <row r="954" spans="1:30" outlineLevel="2"/>
    <row r="955" spans="1:30" outlineLevel="2"/>
    <row r="956" spans="1:30" outlineLevel="2"/>
    <row r="957" spans="1:30" outlineLevel="2"/>
    <row r="958" spans="1:30" outlineLevel="2"/>
    <row r="959" spans="1:30" outlineLevel="2"/>
    <row r="960" spans="1:30" outlineLevel="2"/>
    <row r="961" spans="1:30" outlineLevel="2"/>
    <row r="962" spans="1:30" outlineLevel="2"/>
    <row r="963" spans="1:30" outlineLevel="2"/>
    <row r="964" spans="1:30" outlineLevel="2"/>
    <row r="965" spans="1:30" outlineLevel="2"/>
    <row r="966" spans="1:30" outlineLevel="2"/>
    <row r="967" spans="1:30" outlineLevel="2"/>
    <row r="968" spans="1:30" outlineLevel="2"/>
    <row r="969" spans="1:30" outlineLevel="2"/>
    <row r="970" spans="1:30" outlineLevel="2"/>
    <row r="971" spans="1:30" outlineLevel="2"/>
    <row r="972" spans="1:30" outlineLevel="2"/>
    <row r="973" spans="1:30" outlineLevel="2"/>
    <row r="974" spans="1:30" outlineLevel="2"/>
    <row r="975" spans="1:30" outlineLevel="2"/>
    <row r="976" spans="1:30" s="2" customFormat="1" outlineLevel="1">
      <c r="A976" s="11"/>
      <c r="B976"/>
      <c r="C976"/>
      <c r="D976"/>
      <c r="E976"/>
      <c r="F976"/>
      <c r="G976"/>
      <c r="H976"/>
      <c r="I976"/>
      <c r="J976"/>
      <c r="K976"/>
      <c r="L976"/>
      <c r="M976" s="7"/>
      <c r="N976"/>
      <c r="O976"/>
      <c r="P976" s="3"/>
      <c r="Q976" s="3"/>
      <c r="R976" s="3"/>
      <c r="S976" s="3"/>
      <c r="U976" s="3"/>
      <c r="X976" s="3"/>
      <c r="AA976" s="3"/>
      <c r="AD976" s="41"/>
    </row>
    <row r="977" outlineLevel="2"/>
    <row r="978" outlineLevel="2"/>
    <row r="979" outlineLevel="2"/>
    <row r="980" outlineLevel="2"/>
    <row r="981" outlineLevel="2"/>
    <row r="982" outlineLevel="2"/>
    <row r="983" outlineLevel="2"/>
    <row r="984" outlineLevel="2"/>
    <row r="985" outlineLevel="2"/>
    <row r="986" outlineLevel="2"/>
    <row r="987" outlineLevel="2"/>
    <row r="988" outlineLevel="2"/>
    <row r="989" outlineLevel="2"/>
    <row r="990" outlineLevel="2"/>
    <row r="991" outlineLevel="2"/>
    <row r="992" outlineLevel="2"/>
    <row r="993" spans="1:30" outlineLevel="2"/>
    <row r="994" spans="1:30" outlineLevel="2"/>
    <row r="995" spans="1:30" outlineLevel="2"/>
    <row r="996" spans="1:30" outlineLevel="2"/>
    <row r="997" spans="1:30" outlineLevel="2"/>
    <row r="998" spans="1:30" s="2" customFormat="1" outlineLevel="1">
      <c r="A998" s="11"/>
      <c r="B998"/>
      <c r="C998"/>
      <c r="D998"/>
      <c r="E998"/>
      <c r="F998"/>
      <c r="G998"/>
      <c r="H998"/>
      <c r="I998"/>
      <c r="J998"/>
      <c r="K998"/>
      <c r="L998"/>
      <c r="M998" s="7"/>
      <c r="N998"/>
      <c r="O998"/>
      <c r="P998" s="3"/>
      <c r="Q998" s="3"/>
      <c r="R998" s="3"/>
      <c r="S998" s="3"/>
      <c r="U998" s="3"/>
      <c r="X998" s="3"/>
      <c r="AA998" s="3"/>
      <c r="AD998" s="41"/>
    </row>
    <row r="999" spans="1:30" outlineLevel="2"/>
    <row r="1000" spans="1:30" outlineLevel="2"/>
    <row r="1001" spans="1:30" outlineLevel="2"/>
    <row r="1002" spans="1:30" outlineLevel="2"/>
    <row r="1003" spans="1:30" outlineLevel="2"/>
    <row r="1004" spans="1:30" outlineLevel="2"/>
    <row r="1005" spans="1:30" outlineLevel="2"/>
    <row r="1006" spans="1:30" outlineLevel="2"/>
    <row r="1007" spans="1:30" outlineLevel="2"/>
    <row r="1008" spans="1:30" outlineLevel="2"/>
    <row r="1009" spans="1:30" outlineLevel="2"/>
    <row r="1010" spans="1:30" outlineLevel="2"/>
    <row r="1011" spans="1:30" outlineLevel="2"/>
    <row r="1012" spans="1:30" outlineLevel="2"/>
    <row r="1013" spans="1:30" outlineLevel="2"/>
    <row r="1014" spans="1:30" outlineLevel="2"/>
    <row r="1015" spans="1:30" s="2" customFormat="1" outlineLevel="1">
      <c r="A1015" s="11"/>
      <c r="B1015"/>
      <c r="C1015"/>
      <c r="D1015"/>
      <c r="E1015"/>
      <c r="F1015"/>
      <c r="G1015"/>
      <c r="H1015"/>
      <c r="I1015"/>
      <c r="J1015"/>
      <c r="K1015"/>
      <c r="L1015"/>
      <c r="M1015" s="7"/>
      <c r="N1015"/>
      <c r="O1015"/>
      <c r="P1015" s="3"/>
      <c r="Q1015" s="3"/>
      <c r="R1015" s="3"/>
      <c r="S1015" s="3"/>
      <c r="U1015" s="3"/>
      <c r="X1015" s="3"/>
      <c r="AA1015" s="3"/>
      <c r="AD1015" s="41"/>
    </row>
    <row r="1016" spans="1:30" outlineLevel="2"/>
    <row r="1017" spans="1:30" outlineLevel="2"/>
    <row r="1018" spans="1:30" outlineLevel="2"/>
    <row r="1019" spans="1:30" outlineLevel="2"/>
    <row r="1020" spans="1:30" outlineLevel="2"/>
    <row r="1021" spans="1:30" outlineLevel="2"/>
    <row r="1022" spans="1:30" outlineLevel="2"/>
    <row r="1023" spans="1:30" outlineLevel="2"/>
    <row r="1024" spans="1:30" outlineLevel="2"/>
    <row r="1025" outlineLevel="2"/>
    <row r="1026" outlineLevel="2"/>
    <row r="1027" outlineLevel="2"/>
    <row r="1028" outlineLevel="2"/>
    <row r="1029" outlineLevel="2"/>
    <row r="1030" outlineLevel="2"/>
    <row r="1031" outlineLevel="2"/>
    <row r="1032" outlineLevel="2"/>
    <row r="1033" outlineLevel="2"/>
    <row r="1034" outlineLevel="2"/>
    <row r="1035" outlineLevel="2"/>
    <row r="1036" outlineLevel="2"/>
    <row r="1037" outlineLevel="2"/>
    <row r="1038" outlineLevel="2"/>
    <row r="1039" outlineLevel="2"/>
    <row r="1040" outlineLevel="2"/>
    <row r="1041" spans="1:30" outlineLevel="2"/>
    <row r="1042" spans="1:30" outlineLevel="2"/>
    <row r="1043" spans="1:30" outlineLevel="2"/>
    <row r="1044" spans="1:30" outlineLevel="2"/>
    <row r="1045" spans="1:30" outlineLevel="2"/>
    <row r="1046" spans="1:30" outlineLevel="2"/>
    <row r="1047" spans="1:30" s="2" customFormat="1" outlineLevel="1">
      <c r="A1047" s="11"/>
      <c r="B1047"/>
      <c r="C1047"/>
      <c r="D1047"/>
      <c r="E1047"/>
      <c r="F1047"/>
      <c r="G1047"/>
      <c r="H1047"/>
      <c r="I1047"/>
      <c r="J1047"/>
      <c r="K1047"/>
      <c r="L1047"/>
      <c r="M1047" s="7"/>
      <c r="N1047"/>
      <c r="O1047"/>
      <c r="P1047" s="3"/>
      <c r="Q1047" s="3"/>
      <c r="R1047" s="3"/>
      <c r="S1047" s="3"/>
      <c r="U1047" s="3"/>
      <c r="X1047" s="3"/>
      <c r="AA1047" s="3"/>
      <c r="AD1047" s="41"/>
    </row>
  </sheetData>
  <customSheetViews>
    <customSheetView guid="{4A056693-7DCB-4AEF-AE29-22F0297A0964}" showPageBreaks="1" outlineSymbols="0" hiddenColumns="1" view="pageLayout" topLeftCell="A793">
      <selection activeCell="V826" sqref="V826"/>
      <pageMargins left="0.75" right="0.75" top="1" bottom="1" header="0" footer="0"/>
      <pageSetup paperSize="9" orientation="landscape" r:id="rId1"/>
      <headerFooter alignWithMargins="0">
        <oddHeader>&amp;C&amp;"Arial,Negrita"PRESUPUESTO 2.015&amp;R&amp;P</oddHeader>
        <oddFooter>&amp;R&amp;D</oddFooter>
      </headerFooter>
    </customSheetView>
  </customSheetViews>
  <phoneticPr fontId="3" type="noConversion"/>
  <pageMargins left="0.75" right="0.75" top="1" bottom="1" header="0" footer="0"/>
  <pageSetup paperSize="9" orientation="landscape" r:id="rId2"/>
  <headerFooter alignWithMargins="0">
    <oddHeader>&amp;CPágina &amp;P de &amp;F</oddHeader>
    <oddFooter>&amp;R&amp;D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XEY865"/>
  <sheetViews>
    <sheetView tabSelected="1" view="pageLayout" topLeftCell="A794" zoomScaleNormal="100" workbookViewId="0">
      <selection activeCell="A817" sqref="A817"/>
    </sheetView>
  </sheetViews>
  <sheetFormatPr baseColWidth="10" defaultRowHeight="12.75" outlineLevelRow="2"/>
  <cols>
    <col min="1" max="1" width="8.85546875" style="11" customWidth="1"/>
    <col min="2" max="2" width="6.85546875" customWidth="1"/>
    <col min="3" max="3" width="51.7109375" customWidth="1"/>
    <col min="4" max="7" width="11.42578125" hidden="1" customWidth="1"/>
    <col min="8" max="8" width="13.7109375" hidden="1" customWidth="1"/>
    <col min="9" max="9" width="12.42578125" hidden="1" customWidth="1"/>
    <col min="10" max="10" width="12.5703125" hidden="1" customWidth="1"/>
    <col min="11" max="11" width="12.28515625" hidden="1" customWidth="1"/>
    <col min="12" max="12" width="12.42578125" hidden="1" customWidth="1"/>
    <col min="13" max="13" width="14.28515625" style="7" hidden="1" customWidth="1"/>
    <col min="14" max="15" width="12.42578125" hidden="1" customWidth="1"/>
    <col min="16" max="16" width="14.5703125" style="1" hidden="1" customWidth="1"/>
    <col min="17" max="17" width="12.5703125" style="1" hidden="1" customWidth="1"/>
    <col min="18" max="18" width="13" style="1" hidden="1" customWidth="1"/>
    <col min="19" max="19" width="14.5703125" style="1" hidden="1" customWidth="1"/>
    <col min="20" max="20" width="12.7109375" hidden="1" customWidth="1"/>
    <col min="21" max="21" width="13.42578125" style="1" hidden="1" customWidth="1"/>
    <col min="22" max="22" width="13.42578125" hidden="1" customWidth="1"/>
    <col min="23" max="23" width="13.140625" hidden="1" customWidth="1"/>
    <col min="24" max="24" width="13.42578125" style="1" hidden="1" customWidth="1"/>
    <col min="25" max="25" width="13.140625" hidden="1" customWidth="1"/>
    <col min="26" max="26" width="12.5703125" hidden="1" customWidth="1"/>
    <col min="27" max="27" width="12.5703125" style="1" hidden="1" customWidth="1"/>
    <col min="28" max="28" width="13.42578125" hidden="1" customWidth="1"/>
    <col min="29" max="29" width="13.5703125" customWidth="1"/>
    <col min="30" max="30" width="13.5703125" style="41" customWidth="1"/>
    <col min="31" max="31" width="13.42578125" customWidth="1"/>
    <col min="32" max="32" width="12.5703125" customWidth="1"/>
  </cols>
  <sheetData>
    <row r="1" spans="1:32">
      <c r="A1" s="9" t="s">
        <v>668</v>
      </c>
      <c r="B1" s="9" t="s">
        <v>591</v>
      </c>
      <c r="C1" s="9" t="s">
        <v>592</v>
      </c>
      <c r="D1" s="9" t="s">
        <v>383</v>
      </c>
      <c r="E1" s="8" t="s">
        <v>56</v>
      </c>
      <c r="F1" s="9" t="s">
        <v>382</v>
      </c>
      <c r="G1" s="8" t="s">
        <v>54</v>
      </c>
      <c r="H1" s="9" t="s">
        <v>55</v>
      </c>
      <c r="I1" s="8" t="s">
        <v>56</v>
      </c>
      <c r="J1" s="9" t="s">
        <v>382</v>
      </c>
      <c r="K1" s="8" t="s">
        <v>54</v>
      </c>
      <c r="L1" s="8" t="s">
        <v>381</v>
      </c>
      <c r="M1" s="8" t="s">
        <v>626</v>
      </c>
      <c r="N1" s="8" t="s">
        <v>630</v>
      </c>
      <c r="O1" s="8"/>
      <c r="P1" s="8" t="s">
        <v>626</v>
      </c>
      <c r="Q1" s="8" t="s">
        <v>657</v>
      </c>
      <c r="R1" s="8" t="s">
        <v>672</v>
      </c>
      <c r="S1" s="8" t="s">
        <v>626</v>
      </c>
      <c r="T1" s="8" t="s">
        <v>673</v>
      </c>
      <c r="U1" s="3" t="s">
        <v>672</v>
      </c>
      <c r="V1" s="8" t="s">
        <v>626</v>
      </c>
      <c r="W1" s="8" t="s">
        <v>718</v>
      </c>
      <c r="X1" s="8" t="s">
        <v>672</v>
      </c>
      <c r="Y1" s="8" t="s">
        <v>778</v>
      </c>
      <c r="Z1" s="8" t="s">
        <v>777</v>
      </c>
      <c r="AA1" s="8" t="s">
        <v>672</v>
      </c>
      <c r="AB1" s="8" t="s">
        <v>778</v>
      </c>
      <c r="AC1" s="8" t="s">
        <v>839</v>
      </c>
      <c r="AD1" s="8" t="s">
        <v>672</v>
      </c>
      <c r="AE1" s="8" t="s">
        <v>778</v>
      </c>
      <c r="AF1" s="8" t="s">
        <v>905</v>
      </c>
    </row>
    <row r="2" spans="1:32">
      <c r="A2" s="11">
        <v>91200</v>
      </c>
      <c r="B2" s="11">
        <v>10000</v>
      </c>
      <c r="C2" s="11" t="s">
        <v>510</v>
      </c>
      <c r="D2" s="7">
        <v>136921.68</v>
      </c>
      <c r="E2" s="7">
        <v>69830.05</v>
      </c>
      <c r="F2" s="7">
        <f t="shared" ref="F2:F8" si="0">D2-E2</f>
        <v>67091.62999999999</v>
      </c>
      <c r="G2" s="7">
        <v>-67091.63</v>
      </c>
      <c r="H2" s="7">
        <f t="shared" ref="H2:H8" si="1">D2+G2</f>
        <v>69830.049999999988</v>
      </c>
      <c r="I2" s="1">
        <v>136921.68</v>
      </c>
      <c r="J2" s="1">
        <f t="shared" ref="J2:J8" si="2">H2-I2</f>
        <v>-67091.63</v>
      </c>
      <c r="K2" s="1">
        <v>67091.63</v>
      </c>
      <c r="L2" s="1">
        <f t="shared" ref="L2:L8" si="3">H2+K2</f>
        <v>136921.68</v>
      </c>
      <c r="M2" s="7">
        <f>181593.02-L2</f>
        <v>44671.34</v>
      </c>
      <c r="N2" s="1">
        <f t="shared" ref="N2:N11" si="4">L2+M2</f>
        <v>181593.02</v>
      </c>
      <c r="O2" s="1">
        <v>181593.02</v>
      </c>
      <c r="P2" s="1">
        <f t="shared" ref="P2:P11" si="5">O2-N2</f>
        <v>0</v>
      </c>
      <c r="Q2" s="1">
        <f t="shared" ref="Q2:Q11" si="6">N2+P2</f>
        <v>181593.02</v>
      </c>
      <c r="R2" s="41">
        <v>181593.02</v>
      </c>
      <c r="S2" s="1">
        <f t="shared" ref="S2:S11" si="7">R2-Q2</f>
        <v>0</v>
      </c>
      <c r="T2" s="1">
        <f t="shared" ref="T2:T11" si="8">Q2+S2</f>
        <v>181593.02</v>
      </c>
      <c r="U2" s="41">
        <v>163433.67000000001</v>
      </c>
      <c r="V2" s="1">
        <f t="shared" ref="V2:V11" si="9">U2-T2</f>
        <v>-18159.349999999977</v>
      </c>
      <c r="W2" s="1">
        <f t="shared" ref="W2:W11" si="10">T2+V2</f>
        <v>163433.67000000001</v>
      </c>
      <c r="X2" s="41">
        <v>165068.09</v>
      </c>
      <c r="Y2" s="41">
        <f t="shared" ref="Y2:Y11" si="11">X2-W2</f>
        <v>1634.4199999999837</v>
      </c>
      <c r="Z2" s="1">
        <f t="shared" ref="Z2:Z11" si="12">W2+Y2</f>
        <v>165068.09</v>
      </c>
      <c r="AA2" s="41">
        <v>166718.93</v>
      </c>
      <c r="AB2" s="1">
        <f t="shared" ref="AB2:AB41" si="13">AA2-Z2</f>
        <v>1650.8399999999965</v>
      </c>
      <c r="AC2" s="1">
        <f t="shared" ref="AC2:AC41" si="14">Z2+AB2</f>
        <v>166718.93</v>
      </c>
      <c r="AD2" s="41">
        <v>167544.26999999999</v>
      </c>
      <c r="AE2" s="1">
        <f t="shared" ref="AE2:AE65" si="15">AD2-AC2</f>
        <v>825.33999999999651</v>
      </c>
      <c r="AF2" s="1">
        <f t="shared" ref="AF2:AF65" si="16">AC2+AE2</f>
        <v>167544.26999999999</v>
      </c>
    </row>
    <row r="3" spans="1:32">
      <c r="A3" s="11">
        <v>92000</v>
      </c>
      <c r="B3" s="11">
        <v>11000</v>
      </c>
      <c r="C3" s="11" t="s">
        <v>190</v>
      </c>
      <c r="D3" s="7">
        <v>303961.81</v>
      </c>
      <c r="E3" s="7">
        <v>149082.89000000001</v>
      </c>
      <c r="F3" s="7">
        <f t="shared" si="0"/>
        <v>154878.91999999998</v>
      </c>
      <c r="G3" s="7">
        <v>-154878.92000000001</v>
      </c>
      <c r="H3" s="7">
        <f t="shared" si="1"/>
        <v>149082.88999999998</v>
      </c>
      <c r="I3" s="1">
        <v>176207.06</v>
      </c>
      <c r="J3" s="1">
        <f t="shared" si="2"/>
        <v>-27124.170000000013</v>
      </c>
      <c r="K3" s="1">
        <v>27124.17</v>
      </c>
      <c r="L3" s="1">
        <f t="shared" si="3"/>
        <v>176207.06</v>
      </c>
      <c r="M3" s="7">
        <f>154789.58-L3</f>
        <v>-21417.48000000001</v>
      </c>
      <c r="N3" s="1">
        <f t="shared" si="4"/>
        <v>154789.57999999999</v>
      </c>
      <c r="O3" s="1">
        <v>149749.4</v>
      </c>
      <c r="P3" s="1">
        <f t="shared" si="5"/>
        <v>-5040.179999999993</v>
      </c>
      <c r="Q3" s="1">
        <f t="shared" si="6"/>
        <v>149749.4</v>
      </c>
      <c r="R3" s="1">
        <v>217087.86</v>
      </c>
      <c r="S3" s="1">
        <f t="shared" si="7"/>
        <v>67338.459999999992</v>
      </c>
      <c r="T3" s="1">
        <f t="shared" si="8"/>
        <v>217087.86</v>
      </c>
      <c r="U3" s="1">
        <v>176291.09</v>
      </c>
      <c r="V3" s="1">
        <f t="shared" si="9"/>
        <v>-40796.76999999999</v>
      </c>
      <c r="W3" s="1">
        <f t="shared" si="10"/>
        <v>176291.09</v>
      </c>
      <c r="X3" s="1">
        <v>101424.88</v>
      </c>
      <c r="Y3" s="41">
        <f t="shared" si="11"/>
        <v>-74866.209999999992</v>
      </c>
      <c r="Z3" s="1">
        <f t="shared" si="12"/>
        <v>101424.88</v>
      </c>
      <c r="AA3" s="1">
        <v>102439.69</v>
      </c>
      <c r="AB3" s="1">
        <f t="shared" si="13"/>
        <v>1014.8099999999977</v>
      </c>
      <c r="AC3" s="1">
        <f t="shared" si="14"/>
        <v>102439.69</v>
      </c>
      <c r="AD3" s="41">
        <v>87661.34</v>
      </c>
      <c r="AE3" s="1">
        <f t="shared" si="15"/>
        <v>-14778.350000000006</v>
      </c>
      <c r="AF3" s="1">
        <f t="shared" si="16"/>
        <v>87661.34</v>
      </c>
    </row>
    <row r="4" spans="1:32">
      <c r="A4" s="11">
        <v>92000</v>
      </c>
      <c r="B4" s="11">
        <v>11001</v>
      </c>
      <c r="C4" s="42" t="s">
        <v>762</v>
      </c>
      <c r="D4" s="7">
        <v>0</v>
      </c>
      <c r="E4" s="7">
        <v>156234.48000000001</v>
      </c>
      <c r="F4" s="7">
        <f t="shared" si="0"/>
        <v>-156234.48000000001</v>
      </c>
      <c r="G4" s="7">
        <v>156234.48000000001</v>
      </c>
      <c r="H4" s="7">
        <f t="shared" si="1"/>
        <v>156234.48000000001</v>
      </c>
      <c r="I4" s="1">
        <v>119244.86</v>
      </c>
      <c r="J4" s="1">
        <f t="shared" si="2"/>
        <v>36989.62000000001</v>
      </c>
      <c r="K4" s="1">
        <v>-36989.620000000003</v>
      </c>
      <c r="L4" s="1">
        <f t="shared" si="3"/>
        <v>119244.86000000002</v>
      </c>
      <c r="M4" s="7">
        <f>86011.52-L4</f>
        <v>-33233.340000000011</v>
      </c>
      <c r="N4" s="1">
        <f t="shared" si="4"/>
        <v>86011.520000000004</v>
      </c>
      <c r="O4" s="1">
        <v>79688.98</v>
      </c>
      <c r="P4" s="1">
        <f t="shared" si="5"/>
        <v>-6322.5400000000081</v>
      </c>
      <c r="Q4" s="1">
        <f t="shared" si="6"/>
        <v>79688.98</v>
      </c>
      <c r="S4" s="1">
        <f t="shared" si="7"/>
        <v>-79688.98</v>
      </c>
      <c r="T4" s="1">
        <f t="shared" si="8"/>
        <v>0</v>
      </c>
      <c r="V4" s="1">
        <f t="shared" si="9"/>
        <v>0</v>
      </c>
      <c r="W4" s="1">
        <f t="shared" si="10"/>
        <v>0</v>
      </c>
      <c r="X4" s="1">
        <v>76629.36</v>
      </c>
      <c r="Y4" s="41">
        <f t="shared" si="11"/>
        <v>76629.36</v>
      </c>
      <c r="Z4" s="1">
        <f t="shared" si="12"/>
        <v>76629.36</v>
      </c>
      <c r="AA4" s="1">
        <v>77395.38</v>
      </c>
      <c r="AB4" s="1">
        <f t="shared" si="13"/>
        <v>766.02000000000407</v>
      </c>
      <c r="AC4" s="1">
        <f t="shared" si="14"/>
        <v>77395.38</v>
      </c>
      <c r="AD4" s="41">
        <v>65464.03</v>
      </c>
      <c r="AE4" s="1">
        <f t="shared" si="15"/>
        <v>-11931.350000000006</v>
      </c>
      <c r="AF4" s="1">
        <f t="shared" si="16"/>
        <v>65464.03</v>
      </c>
    </row>
    <row r="5" spans="1:32">
      <c r="A5" s="11">
        <v>13000</v>
      </c>
      <c r="B5" s="11">
        <v>12000</v>
      </c>
      <c r="C5" s="11" t="s">
        <v>75</v>
      </c>
      <c r="D5" s="7">
        <v>227156.31</v>
      </c>
      <c r="E5" s="7">
        <v>20581.09</v>
      </c>
      <c r="F5" s="7">
        <f t="shared" si="0"/>
        <v>206575.22</v>
      </c>
      <c r="G5" s="7">
        <v>-206575.22</v>
      </c>
      <c r="H5" s="7">
        <f t="shared" si="1"/>
        <v>20581.089999999997</v>
      </c>
      <c r="I5" s="1">
        <v>14677.32</v>
      </c>
      <c r="J5" s="1">
        <f t="shared" si="2"/>
        <v>5903.7699999999968</v>
      </c>
      <c r="K5" s="1">
        <v>-5903.77</v>
      </c>
      <c r="L5" s="1">
        <f t="shared" si="3"/>
        <v>14677.319999999996</v>
      </c>
      <c r="N5" s="1">
        <f t="shared" si="4"/>
        <v>14677.319999999996</v>
      </c>
      <c r="O5" s="1">
        <v>14677.32</v>
      </c>
      <c r="P5" s="1">
        <f t="shared" si="5"/>
        <v>0</v>
      </c>
      <c r="Q5" s="1">
        <f t="shared" si="6"/>
        <v>14677.319999999996</v>
      </c>
      <c r="R5" s="1">
        <v>14677.32</v>
      </c>
      <c r="S5" s="1">
        <f t="shared" si="7"/>
        <v>0</v>
      </c>
      <c r="T5" s="1">
        <f t="shared" si="8"/>
        <v>14677.319999999996</v>
      </c>
      <c r="U5" s="1">
        <v>14677.32</v>
      </c>
      <c r="V5" s="1">
        <f t="shared" si="9"/>
        <v>0</v>
      </c>
      <c r="W5" s="1">
        <f t="shared" si="10"/>
        <v>14677.319999999996</v>
      </c>
      <c r="X5" s="1">
        <v>16193.36</v>
      </c>
      <c r="Y5" s="41">
        <f t="shared" si="11"/>
        <v>1516.0400000000045</v>
      </c>
      <c r="Z5" s="1">
        <f t="shared" si="12"/>
        <v>16193.36</v>
      </c>
      <c r="AA5" s="1">
        <v>14972.45</v>
      </c>
      <c r="AB5" s="1">
        <f t="shared" si="13"/>
        <v>-1220.9099999999999</v>
      </c>
      <c r="AC5" s="1">
        <f t="shared" si="14"/>
        <v>14972.45</v>
      </c>
      <c r="AD5" s="41">
        <v>15197.15</v>
      </c>
      <c r="AE5" s="1">
        <f t="shared" si="15"/>
        <v>224.69999999999891</v>
      </c>
      <c r="AF5" s="1">
        <f t="shared" si="16"/>
        <v>15197.15</v>
      </c>
    </row>
    <row r="6" spans="1:32">
      <c r="A6" s="11">
        <v>13200</v>
      </c>
      <c r="B6" s="11">
        <v>12000</v>
      </c>
      <c r="C6" s="11" t="s">
        <v>75</v>
      </c>
      <c r="D6" s="7">
        <v>1676085.3</v>
      </c>
      <c r="E6" s="7">
        <v>21478.65</v>
      </c>
      <c r="F6" s="7">
        <f t="shared" si="0"/>
        <v>1654606.6500000001</v>
      </c>
      <c r="G6" s="7">
        <v>-1654606.65</v>
      </c>
      <c r="H6" s="7">
        <f t="shared" si="1"/>
        <v>21478.65000000014</v>
      </c>
      <c r="I6" s="1">
        <v>14677.32</v>
      </c>
      <c r="J6" s="1">
        <f t="shared" si="2"/>
        <v>6801.33000000014</v>
      </c>
      <c r="K6" s="1">
        <v>-6801.33</v>
      </c>
      <c r="L6" s="1">
        <f t="shared" si="3"/>
        <v>14677.32000000014</v>
      </c>
      <c r="N6" s="1">
        <f t="shared" si="4"/>
        <v>14677.32000000014</v>
      </c>
      <c r="O6" s="1">
        <v>14677.32</v>
      </c>
      <c r="P6" s="1">
        <f t="shared" si="5"/>
        <v>-1.4006218407303095E-10</v>
      </c>
      <c r="Q6" s="1">
        <f t="shared" si="6"/>
        <v>14677.32</v>
      </c>
      <c r="R6" s="1">
        <v>14677.32</v>
      </c>
      <c r="S6" s="1">
        <f t="shared" si="7"/>
        <v>0</v>
      </c>
      <c r="T6" s="1">
        <f t="shared" si="8"/>
        <v>14677.32</v>
      </c>
      <c r="U6" s="1">
        <v>14677.32</v>
      </c>
      <c r="V6" s="1">
        <f t="shared" si="9"/>
        <v>0</v>
      </c>
      <c r="W6" s="1">
        <f t="shared" si="10"/>
        <v>14677.32</v>
      </c>
      <c r="X6" s="1">
        <v>16621.48</v>
      </c>
      <c r="Y6" s="41">
        <f t="shared" si="11"/>
        <v>1944.1599999999999</v>
      </c>
      <c r="Z6" s="1">
        <f t="shared" si="12"/>
        <v>16621.48</v>
      </c>
      <c r="AA6" s="1">
        <v>14972.45</v>
      </c>
      <c r="AB6" s="1">
        <f t="shared" si="13"/>
        <v>-1649.0299999999988</v>
      </c>
      <c r="AC6" s="1">
        <f t="shared" si="14"/>
        <v>14972.45</v>
      </c>
      <c r="AD6" s="41">
        <v>15197.15</v>
      </c>
      <c r="AE6" s="1">
        <f t="shared" si="15"/>
        <v>224.69999999999891</v>
      </c>
      <c r="AF6" s="1">
        <f t="shared" si="16"/>
        <v>15197.15</v>
      </c>
    </row>
    <row r="7" spans="1:32">
      <c r="A7" s="11">
        <v>15100</v>
      </c>
      <c r="B7" s="11">
        <v>12000</v>
      </c>
      <c r="C7" s="11" t="s">
        <v>155</v>
      </c>
      <c r="D7" s="7">
        <v>693775.12</v>
      </c>
      <c r="E7" s="7">
        <v>175960.05</v>
      </c>
      <c r="F7" s="7">
        <f t="shared" si="0"/>
        <v>517815.07</v>
      </c>
      <c r="G7" s="7">
        <v>-517815.07</v>
      </c>
      <c r="H7" s="7">
        <f t="shared" si="1"/>
        <v>175960.05</v>
      </c>
      <c r="I7" s="1">
        <v>73386.600000000006</v>
      </c>
      <c r="J7" s="1">
        <f t="shared" si="2"/>
        <v>102573.44999999998</v>
      </c>
      <c r="K7" s="1">
        <v>-102573.45</v>
      </c>
      <c r="L7" s="1">
        <f t="shared" si="3"/>
        <v>73386.599999999991</v>
      </c>
      <c r="M7" s="7">
        <f>80725.26-L7</f>
        <v>7338.6600000000035</v>
      </c>
      <c r="N7" s="1">
        <f t="shared" si="4"/>
        <v>80725.259999999995</v>
      </c>
      <c r="O7" s="1">
        <v>73386.600000000006</v>
      </c>
      <c r="P7" s="1">
        <f t="shared" si="5"/>
        <v>-7338.6599999999889</v>
      </c>
      <c r="Q7" s="1">
        <f t="shared" si="6"/>
        <v>73386.600000000006</v>
      </c>
      <c r="R7" s="1">
        <v>73386.600000000006</v>
      </c>
      <c r="S7" s="1">
        <f t="shared" si="7"/>
        <v>0</v>
      </c>
      <c r="T7" s="1">
        <f t="shared" si="8"/>
        <v>73386.600000000006</v>
      </c>
      <c r="U7" s="1">
        <v>87214.54</v>
      </c>
      <c r="V7" s="1">
        <f t="shared" si="9"/>
        <v>13827.939999999988</v>
      </c>
      <c r="W7" s="1">
        <f t="shared" si="10"/>
        <v>87214.54</v>
      </c>
      <c r="X7" s="1">
        <v>80958.740000000005</v>
      </c>
      <c r="Y7" s="41">
        <f t="shared" si="11"/>
        <v>-6255.7999999999884</v>
      </c>
      <c r="Z7" s="1">
        <f t="shared" si="12"/>
        <v>80958.740000000005</v>
      </c>
      <c r="AA7" s="1">
        <v>76258.38</v>
      </c>
      <c r="AB7" s="1">
        <f t="shared" si="13"/>
        <v>-4700.3600000000006</v>
      </c>
      <c r="AC7" s="1">
        <f t="shared" si="14"/>
        <v>76258.38</v>
      </c>
      <c r="AD7" s="41">
        <v>60788.6</v>
      </c>
      <c r="AE7" s="1">
        <f t="shared" si="15"/>
        <v>-15469.780000000006</v>
      </c>
      <c r="AF7" s="1">
        <f t="shared" si="16"/>
        <v>60788.6</v>
      </c>
    </row>
    <row r="8" spans="1:32">
      <c r="A8" s="13">
        <v>17000</v>
      </c>
      <c r="B8" s="11">
        <v>12000</v>
      </c>
      <c r="C8" s="11" t="s">
        <v>101</v>
      </c>
      <c r="D8" s="7">
        <v>50865.41</v>
      </c>
      <c r="E8" s="7">
        <v>19095.759999999998</v>
      </c>
      <c r="F8" s="7">
        <f t="shared" si="0"/>
        <v>31769.650000000005</v>
      </c>
      <c r="G8" s="7">
        <v>-31769.65</v>
      </c>
      <c r="H8" s="7">
        <f t="shared" si="1"/>
        <v>19095.760000000002</v>
      </c>
      <c r="I8" s="16">
        <v>14677.32</v>
      </c>
      <c r="J8" s="1">
        <f t="shared" si="2"/>
        <v>4418.4400000000023</v>
      </c>
      <c r="K8" s="16">
        <v>-4418.4399999999996</v>
      </c>
      <c r="L8" s="1">
        <f t="shared" si="3"/>
        <v>14677.320000000003</v>
      </c>
      <c r="M8" s="10">
        <v>0</v>
      </c>
      <c r="N8" s="1">
        <f t="shared" si="4"/>
        <v>14677.320000000003</v>
      </c>
      <c r="O8" s="1">
        <v>14677.32</v>
      </c>
      <c r="P8" s="1">
        <f t="shared" si="5"/>
        <v>0</v>
      </c>
      <c r="Q8" s="1">
        <f t="shared" si="6"/>
        <v>14677.320000000003</v>
      </c>
      <c r="R8" s="41">
        <v>14677.32</v>
      </c>
      <c r="S8" s="1">
        <f t="shared" si="7"/>
        <v>0</v>
      </c>
      <c r="T8" s="1">
        <f t="shared" si="8"/>
        <v>14677.320000000003</v>
      </c>
      <c r="U8" s="41">
        <v>21591.29</v>
      </c>
      <c r="V8" s="1">
        <f t="shared" si="9"/>
        <v>6913.9699999999975</v>
      </c>
      <c r="W8" s="1">
        <f t="shared" si="10"/>
        <v>21591.29</v>
      </c>
      <c r="X8" s="41">
        <v>30689.91</v>
      </c>
      <c r="Y8" s="41">
        <f t="shared" si="11"/>
        <v>9098.619999999999</v>
      </c>
      <c r="Z8" s="1">
        <f t="shared" si="12"/>
        <v>30689.91</v>
      </c>
      <c r="AA8" s="41">
        <v>59889.81</v>
      </c>
      <c r="AB8" s="1">
        <f t="shared" si="13"/>
        <v>29199.899999999998</v>
      </c>
      <c r="AC8" s="1">
        <f t="shared" si="14"/>
        <v>59889.81</v>
      </c>
      <c r="AD8" s="41">
        <v>62205.79</v>
      </c>
      <c r="AE8" s="1">
        <f t="shared" si="15"/>
        <v>2315.9800000000032</v>
      </c>
      <c r="AF8" s="1">
        <f t="shared" si="16"/>
        <v>62205.79</v>
      </c>
    </row>
    <row r="9" spans="1:32">
      <c r="A9" s="13">
        <v>23110</v>
      </c>
      <c r="B9" s="11">
        <v>12000</v>
      </c>
      <c r="C9" s="11" t="s">
        <v>106</v>
      </c>
      <c r="D9" s="8"/>
      <c r="E9" s="8"/>
      <c r="F9" s="8"/>
      <c r="G9" s="8"/>
      <c r="H9" s="8"/>
      <c r="I9" s="8"/>
      <c r="J9" s="8"/>
      <c r="K9" s="8"/>
      <c r="L9" s="10">
        <v>18626.009999999998</v>
      </c>
      <c r="M9" s="10">
        <f>14677.32-L9</f>
        <v>-3948.6899999999987</v>
      </c>
      <c r="N9" s="7">
        <f t="shared" si="4"/>
        <v>14677.32</v>
      </c>
      <c r="O9" s="7">
        <v>10064.24</v>
      </c>
      <c r="P9" s="1">
        <f t="shared" si="5"/>
        <v>-4613.08</v>
      </c>
      <c r="Q9" s="1">
        <f t="shared" si="6"/>
        <v>10064.24</v>
      </c>
      <c r="R9" s="41">
        <v>14677.32</v>
      </c>
      <c r="S9" s="1">
        <f t="shared" si="7"/>
        <v>4613.08</v>
      </c>
      <c r="T9" s="1">
        <f t="shared" si="8"/>
        <v>14677.32</v>
      </c>
      <c r="U9" s="41">
        <v>14677.32</v>
      </c>
      <c r="V9" s="1">
        <f t="shared" si="9"/>
        <v>0</v>
      </c>
      <c r="W9" s="1">
        <f t="shared" si="10"/>
        <v>14677.32</v>
      </c>
      <c r="X9" s="41">
        <v>15716.95</v>
      </c>
      <c r="Y9" s="41">
        <f t="shared" si="11"/>
        <v>1039.630000000001</v>
      </c>
      <c r="Z9" s="1">
        <f t="shared" si="12"/>
        <v>15716.95</v>
      </c>
      <c r="AA9" s="41">
        <v>14972.45</v>
      </c>
      <c r="AB9" s="41">
        <f t="shared" si="13"/>
        <v>-744.5</v>
      </c>
      <c r="AC9" s="1">
        <f t="shared" si="14"/>
        <v>14972.45</v>
      </c>
      <c r="AD9" s="41">
        <v>15197.15</v>
      </c>
      <c r="AE9" s="1">
        <f t="shared" si="15"/>
        <v>224.69999999999891</v>
      </c>
      <c r="AF9" s="1">
        <f t="shared" si="16"/>
        <v>15197.15</v>
      </c>
    </row>
    <row r="10" spans="1:32">
      <c r="A10" s="13">
        <v>23111</v>
      </c>
      <c r="B10" s="11">
        <v>12000</v>
      </c>
      <c r="C10" s="11" t="s">
        <v>113</v>
      </c>
      <c r="D10" s="7">
        <v>16620.46</v>
      </c>
      <c r="E10" s="7">
        <v>19684.97</v>
      </c>
      <c r="F10" s="7">
        <f>D10-E10</f>
        <v>-3064.510000000002</v>
      </c>
      <c r="G10" s="7">
        <v>3064.51</v>
      </c>
      <c r="H10" s="7">
        <f>D10+G10</f>
        <v>19684.97</v>
      </c>
      <c r="I10" s="10">
        <v>14677.32</v>
      </c>
      <c r="J10" s="10">
        <f>H10-I10</f>
        <v>5007.6500000000015</v>
      </c>
      <c r="K10" s="10">
        <v>-5007.6499999999996</v>
      </c>
      <c r="L10" s="7">
        <v>14677.32</v>
      </c>
      <c r="M10" s="10">
        <f>27553.8-L10</f>
        <v>12876.48</v>
      </c>
      <c r="N10" s="7">
        <f t="shared" si="4"/>
        <v>27553.8</v>
      </c>
      <c r="O10" s="7">
        <v>12876.48</v>
      </c>
      <c r="P10" s="1">
        <f t="shared" si="5"/>
        <v>-14677.32</v>
      </c>
      <c r="Q10" s="1">
        <f t="shared" si="6"/>
        <v>12876.48</v>
      </c>
      <c r="R10" s="41">
        <v>14677.32</v>
      </c>
      <c r="S10" s="1">
        <f t="shared" si="7"/>
        <v>1800.8400000000001</v>
      </c>
      <c r="T10" s="1">
        <f t="shared" si="8"/>
        <v>14677.32</v>
      </c>
      <c r="U10" s="41">
        <v>12876.48</v>
      </c>
      <c r="V10" s="1">
        <f t="shared" si="9"/>
        <v>-1800.8400000000001</v>
      </c>
      <c r="W10" s="1">
        <f t="shared" si="10"/>
        <v>12876.48</v>
      </c>
      <c r="X10" s="41">
        <v>16140.87</v>
      </c>
      <c r="Y10" s="41">
        <f t="shared" si="11"/>
        <v>3264.3900000000012</v>
      </c>
      <c r="Z10" s="1">
        <f t="shared" si="12"/>
        <v>16140.87</v>
      </c>
      <c r="AA10" s="41">
        <v>16368.69</v>
      </c>
      <c r="AB10" s="41">
        <f t="shared" si="13"/>
        <v>227.81999999999971</v>
      </c>
      <c r="AC10" s="1">
        <f t="shared" si="14"/>
        <v>16368.69</v>
      </c>
      <c r="AD10" s="41">
        <v>15196.94</v>
      </c>
      <c r="AE10" s="1">
        <f t="shared" si="15"/>
        <v>-1171.75</v>
      </c>
      <c r="AF10" s="1">
        <f t="shared" si="16"/>
        <v>15196.94</v>
      </c>
    </row>
    <row r="11" spans="1:32">
      <c r="A11" s="42">
        <v>23113</v>
      </c>
      <c r="B11" s="11">
        <v>12000</v>
      </c>
      <c r="C11" s="11" t="s">
        <v>340</v>
      </c>
      <c r="D11" s="7">
        <v>137115.91</v>
      </c>
      <c r="E11" s="7">
        <v>0</v>
      </c>
      <c r="F11" s="7">
        <f>D11-E11</f>
        <v>137115.91</v>
      </c>
      <c r="G11" s="7">
        <v>-137115.91</v>
      </c>
      <c r="H11" s="7">
        <f>D11+G11</f>
        <v>0</v>
      </c>
      <c r="I11" s="7">
        <v>19569.759999999998</v>
      </c>
      <c r="J11" s="7">
        <f>H11-I11</f>
        <v>-19569.759999999998</v>
      </c>
      <c r="K11" s="7">
        <v>19569.759999999998</v>
      </c>
      <c r="L11" s="7">
        <v>19569.759999999998</v>
      </c>
      <c r="M11" s="7">
        <f>14677.32-L11</f>
        <v>-4892.4399999999987</v>
      </c>
      <c r="N11" s="7">
        <f t="shared" si="4"/>
        <v>14677.32</v>
      </c>
      <c r="O11" s="7">
        <v>14677.32</v>
      </c>
      <c r="P11" s="1">
        <f t="shared" si="5"/>
        <v>0</v>
      </c>
      <c r="Q11" s="1">
        <f t="shared" si="6"/>
        <v>14677.32</v>
      </c>
      <c r="R11" s="41">
        <v>29354.639999999999</v>
      </c>
      <c r="S11" s="1">
        <f t="shared" si="7"/>
        <v>14677.32</v>
      </c>
      <c r="T11" s="1">
        <f t="shared" si="8"/>
        <v>29354.639999999999</v>
      </c>
      <c r="U11" s="41">
        <v>44031.96</v>
      </c>
      <c r="V11" s="1">
        <f t="shared" si="9"/>
        <v>14677.32</v>
      </c>
      <c r="W11" s="1">
        <f t="shared" si="10"/>
        <v>44031.96</v>
      </c>
      <c r="X11" s="41">
        <v>45500.59</v>
      </c>
      <c r="Y11" s="41">
        <f t="shared" si="11"/>
        <v>1468.6299999999974</v>
      </c>
      <c r="Z11" s="1">
        <f t="shared" si="12"/>
        <v>45500.59</v>
      </c>
      <c r="AA11" s="41">
        <v>44917.35</v>
      </c>
      <c r="AB11" s="41">
        <f t="shared" si="13"/>
        <v>-583.23999999999796</v>
      </c>
      <c r="AC11" s="1">
        <f t="shared" si="14"/>
        <v>44917.35</v>
      </c>
      <c r="AD11" s="41">
        <v>45591.45</v>
      </c>
      <c r="AE11" s="1">
        <f t="shared" si="15"/>
        <v>674.09999999999854</v>
      </c>
      <c r="AF11" s="1">
        <f t="shared" si="16"/>
        <v>45591.45</v>
      </c>
    </row>
    <row r="12" spans="1:32">
      <c r="A12" s="42">
        <v>33220</v>
      </c>
      <c r="B12" s="42">
        <v>12000</v>
      </c>
      <c r="C12" s="11" t="s">
        <v>113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"/>
      <c r="S12" s="8"/>
      <c r="T12" s="8"/>
      <c r="U12" s="8"/>
      <c r="V12" s="8"/>
      <c r="W12" s="8"/>
      <c r="X12" s="8"/>
      <c r="Y12" s="8"/>
      <c r="Z12" s="47">
        <v>0</v>
      </c>
      <c r="AA12" s="47">
        <v>3233.28</v>
      </c>
      <c r="AB12" s="41">
        <f t="shared" si="13"/>
        <v>3233.28</v>
      </c>
      <c r="AC12" s="1">
        <f t="shared" si="14"/>
        <v>3233.28</v>
      </c>
      <c r="AD12" s="41">
        <v>1865</v>
      </c>
      <c r="AE12" s="1">
        <f t="shared" si="15"/>
        <v>-1368.2800000000002</v>
      </c>
      <c r="AF12" s="1">
        <f t="shared" si="16"/>
        <v>1865</v>
      </c>
    </row>
    <row r="13" spans="1:32">
      <c r="A13" s="11">
        <v>33600</v>
      </c>
      <c r="B13" s="11">
        <v>12000</v>
      </c>
      <c r="C13" s="11" t="s">
        <v>129</v>
      </c>
      <c r="D13" s="7">
        <v>176285.77</v>
      </c>
      <c r="E13" s="7">
        <v>39651.39</v>
      </c>
      <c r="F13" s="7">
        <f>D13-E13</f>
        <v>136634.38</v>
      </c>
      <c r="G13" s="7">
        <v>-136634.38</v>
      </c>
      <c r="H13" s="7">
        <f>D13+G13</f>
        <v>39651.389999999985</v>
      </c>
      <c r="I13" s="1">
        <v>48924.4</v>
      </c>
      <c r="J13" s="1">
        <f>H13-I13</f>
        <v>-9273.0100000000166</v>
      </c>
      <c r="K13" s="1">
        <v>9273.01</v>
      </c>
      <c r="L13" s="1">
        <f>H13+K13</f>
        <v>48924.399999999987</v>
      </c>
      <c r="M13" s="7">
        <f>29354.64-L13</f>
        <v>-19569.759999999987</v>
      </c>
      <c r="N13" s="1">
        <f t="shared" ref="N13:N22" si="17">L13+M13</f>
        <v>29354.639999999999</v>
      </c>
      <c r="O13" s="1">
        <v>29354.639999999999</v>
      </c>
      <c r="P13" s="1">
        <f t="shared" ref="P13:P22" si="18">O13-N13</f>
        <v>0</v>
      </c>
      <c r="Q13" s="1">
        <f t="shared" ref="Q13:Q22" si="19">N13+P13</f>
        <v>29354.639999999999</v>
      </c>
      <c r="R13" s="1">
        <v>29354.639999999999</v>
      </c>
      <c r="S13" s="1">
        <f t="shared" ref="S13:S29" si="20">R13-Q13</f>
        <v>0</v>
      </c>
      <c r="T13" s="1">
        <f t="shared" ref="T13:T29" si="21">Q13+S13</f>
        <v>29354.639999999999</v>
      </c>
      <c r="U13" s="1">
        <v>29354.639999999999</v>
      </c>
      <c r="V13" s="1">
        <f t="shared" ref="V13:V29" si="22">U13-T13</f>
        <v>0</v>
      </c>
      <c r="W13" s="1">
        <f t="shared" ref="W13:W29" si="23">T13+V13</f>
        <v>29354.639999999999</v>
      </c>
      <c r="X13" s="1">
        <v>32082.77</v>
      </c>
      <c r="Y13" s="41">
        <f t="shared" ref="Y13:Y29" si="24">X13-W13</f>
        <v>2728.130000000001</v>
      </c>
      <c r="Z13" s="1">
        <f t="shared" ref="Z13:Z29" si="25">W13+Y13</f>
        <v>32082.77</v>
      </c>
      <c r="AA13" s="1">
        <v>29944.9</v>
      </c>
      <c r="AB13" s="1">
        <f t="shared" si="13"/>
        <v>-2137.869999999999</v>
      </c>
      <c r="AC13" s="1">
        <f t="shared" si="14"/>
        <v>29944.9</v>
      </c>
      <c r="AD13" s="41">
        <v>30394.3</v>
      </c>
      <c r="AE13" s="1">
        <f t="shared" si="15"/>
        <v>449.39999999999782</v>
      </c>
      <c r="AF13" s="1">
        <f t="shared" si="16"/>
        <v>30394.3</v>
      </c>
    </row>
    <row r="14" spans="1:32">
      <c r="A14" s="11">
        <v>34000</v>
      </c>
      <c r="B14" s="11">
        <v>12000</v>
      </c>
      <c r="C14" s="11" t="s">
        <v>145</v>
      </c>
      <c r="D14" s="7">
        <v>123089.27</v>
      </c>
      <c r="E14" s="7">
        <v>38013</v>
      </c>
      <c r="F14" s="7">
        <f>D14-E14</f>
        <v>85076.27</v>
      </c>
      <c r="G14" s="7">
        <v>-85076.27</v>
      </c>
      <c r="H14" s="7">
        <f>D14+G14</f>
        <v>38013</v>
      </c>
      <c r="I14" s="16">
        <v>14677.32</v>
      </c>
      <c r="J14" s="16">
        <f>H14-I14</f>
        <v>23335.68</v>
      </c>
      <c r="K14" s="16">
        <v>-23335.68</v>
      </c>
      <c r="L14" s="1">
        <f>H14+K14</f>
        <v>14677.32</v>
      </c>
      <c r="M14" s="7">
        <v>0</v>
      </c>
      <c r="N14" s="1">
        <f t="shared" si="17"/>
        <v>14677.32</v>
      </c>
      <c r="O14" s="1">
        <v>14677.32</v>
      </c>
      <c r="P14" s="1">
        <f t="shared" si="18"/>
        <v>0</v>
      </c>
      <c r="Q14" s="1">
        <f t="shared" si="19"/>
        <v>14677.32</v>
      </c>
      <c r="R14" s="1">
        <v>14677.32</v>
      </c>
      <c r="S14" s="1">
        <f t="shared" si="20"/>
        <v>0</v>
      </c>
      <c r="T14" s="1">
        <f t="shared" si="21"/>
        <v>14677.32</v>
      </c>
      <c r="U14" s="1">
        <v>14677.32</v>
      </c>
      <c r="V14" s="1">
        <f t="shared" si="22"/>
        <v>0</v>
      </c>
      <c r="W14" s="1">
        <f t="shared" si="23"/>
        <v>14677.32</v>
      </c>
      <c r="X14" s="1">
        <v>15879.23</v>
      </c>
      <c r="Y14" s="41">
        <f t="shared" si="24"/>
        <v>1201.9099999999999</v>
      </c>
      <c r="Z14" s="1">
        <f t="shared" si="25"/>
        <v>15879.23</v>
      </c>
      <c r="AA14" s="1">
        <v>14972.45</v>
      </c>
      <c r="AB14" s="1">
        <f t="shared" si="13"/>
        <v>-906.77999999999884</v>
      </c>
      <c r="AC14" s="1">
        <f t="shared" si="14"/>
        <v>14972.45</v>
      </c>
      <c r="AD14" s="41">
        <v>15197.15</v>
      </c>
      <c r="AE14" s="1">
        <f t="shared" si="15"/>
        <v>224.69999999999891</v>
      </c>
      <c r="AF14" s="1">
        <f t="shared" si="16"/>
        <v>15197.15</v>
      </c>
    </row>
    <row r="15" spans="1:32">
      <c r="A15" s="11">
        <v>92000</v>
      </c>
      <c r="B15" s="11">
        <v>12000</v>
      </c>
      <c r="C15" s="11" t="s">
        <v>191</v>
      </c>
      <c r="D15" s="7">
        <v>351780.12</v>
      </c>
      <c r="E15" s="7">
        <v>125561.82</v>
      </c>
      <c r="F15" s="7">
        <f>D15-E15</f>
        <v>226218.3</v>
      </c>
      <c r="G15" s="7">
        <v>-226218.3</v>
      </c>
      <c r="H15" s="7">
        <f>D15+G15</f>
        <v>125561.82</v>
      </c>
      <c r="I15" s="1">
        <v>44031.96</v>
      </c>
      <c r="J15" s="1">
        <f>H15-I15</f>
        <v>81529.860000000015</v>
      </c>
      <c r="K15" s="1">
        <v>-81529.86</v>
      </c>
      <c r="L15" s="1">
        <f>H15+K15</f>
        <v>44031.960000000006</v>
      </c>
      <c r="M15" s="7">
        <v>0</v>
      </c>
      <c r="N15" s="1">
        <f t="shared" si="17"/>
        <v>44031.960000000006</v>
      </c>
      <c r="O15" s="1">
        <v>44031.96</v>
      </c>
      <c r="P15" s="1">
        <f t="shared" si="18"/>
        <v>0</v>
      </c>
      <c r="Q15" s="1">
        <f t="shared" si="19"/>
        <v>44031.960000000006</v>
      </c>
      <c r="R15" s="1">
        <v>44031.96</v>
      </c>
      <c r="S15" s="1">
        <f t="shared" si="20"/>
        <v>0</v>
      </c>
      <c r="T15" s="1">
        <f t="shared" si="21"/>
        <v>44031.960000000006</v>
      </c>
      <c r="U15" s="1">
        <v>58709.279999999999</v>
      </c>
      <c r="V15" s="1">
        <f t="shared" si="22"/>
        <v>14677.319999999992</v>
      </c>
      <c r="W15" s="1">
        <f t="shared" si="23"/>
        <v>58709.279999999999</v>
      </c>
      <c r="X15" s="1">
        <v>64305.57</v>
      </c>
      <c r="Y15" s="41">
        <f t="shared" si="24"/>
        <v>5596.2900000000009</v>
      </c>
      <c r="Z15" s="1">
        <f t="shared" si="25"/>
        <v>64305.57</v>
      </c>
      <c r="AA15" s="1">
        <v>48199.75</v>
      </c>
      <c r="AB15" s="1">
        <f t="shared" si="13"/>
        <v>-16105.82</v>
      </c>
      <c r="AC15" s="1">
        <f t="shared" si="14"/>
        <v>48199.75</v>
      </c>
      <c r="AD15" s="41">
        <v>47487.199999999997</v>
      </c>
      <c r="AE15" s="1">
        <f t="shared" si="15"/>
        <v>-712.55000000000291</v>
      </c>
      <c r="AF15" s="1">
        <f t="shared" si="16"/>
        <v>47487.199999999997</v>
      </c>
    </row>
    <row r="16" spans="1:32">
      <c r="A16" s="11">
        <v>92010</v>
      </c>
      <c r="B16" s="11">
        <v>12000</v>
      </c>
      <c r="C16" s="11" t="s">
        <v>211</v>
      </c>
      <c r="D16" s="7"/>
      <c r="E16" s="7"/>
      <c r="F16" s="7"/>
      <c r="G16" s="7"/>
      <c r="H16" s="7"/>
      <c r="I16" s="8"/>
      <c r="J16" s="7"/>
      <c r="K16" s="8"/>
      <c r="L16" s="7">
        <v>14677.32</v>
      </c>
      <c r="M16" s="7">
        <v>0</v>
      </c>
      <c r="N16" s="7">
        <f t="shared" si="17"/>
        <v>14677.32</v>
      </c>
      <c r="O16" s="7">
        <v>14677.32</v>
      </c>
      <c r="P16" s="1">
        <f t="shared" si="18"/>
        <v>0</v>
      </c>
      <c r="Q16" s="1">
        <f t="shared" si="19"/>
        <v>14677.32</v>
      </c>
      <c r="R16" s="1">
        <v>14677.32</v>
      </c>
      <c r="S16" s="1">
        <f t="shared" si="20"/>
        <v>0</v>
      </c>
      <c r="T16" s="1">
        <f t="shared" si="21"/>
        <v>14677.32</v>
      </c>
      <c r="U16" s="1">
        <v>14677.32</v>
      </c>
      <c r="V16" s="1">
        <f t="shared" si="22"/>
        <v>0</v>
      </c>
      <c r="W16" s="1">
        <f t="shared" si="23"/>
        <v>14677.32</v>
      </c>
      <c r="X16" s="1">
        <v>16033.15</v>
      </c>
      <c r="Y16" s="41">
        <f t="shared" si="24"/>
        <v>1355.83</v>
      </c>
      <c r="Z16" s="1">
        <f t="shared" si="25"/>
        <v>16033.15</v>
      </c>
      <c r="AA16" s="1">
        <v>14972.45</v>
      </c>
      <c r="AB16" s="1">
        <f t="shared" si="13"/>
        <v>-1060.6999999999989</v>
      </c>
      <c r="AC16" s="1">
        <f t="shared" si="14"/>
        <v>14972.45</v>
      </c>
      <c r="AD16" s="41">
        <v>15197.15</v>
      </c>
      <c r="AE16" s="1">
        <f t="shared" si="15"/>
        <v>224.69999999999891</v>
      </c>
      <c r="AF16" s="1">
        <f t="shared" si="16"/>
        <v>15197.15</v>
      </c>
    </row>
    <row r="17" spans="1:32">
      <c r="A17" s="11">
        <v>92600</v>
      </c>
      <c r="B17" s="11">
        <v>12000</v>
      </c>
      <c r="C17" s="11" t="s">
        <v>197</v>
      </c>
      <c r="D17" s="7">
        <v>50110.53</v>
      </c>
      <c r="E17" s="7">
        <v>20581.09</v>
      </c>
      <c r="F17" s="7">
        <f>D17-E17</f>
        <v>29529.439999999999</v>
      </c>
      <c r="G17" s="7">
        <v>-29529.439999999999</v>
      </c>
      <c r="H17" s="7">
        <f t="shared" ref="H17:H22" si="26">D17+G17</f>
        <v>20581.09</v>
      </c>
      <c r="I17" s="7">
        <v>14677.32</v>
      </c>
      <c r="J17" s="7">
        <f t="shared" ref="J17:J22" si="27">H17-I17</f>
        <v>5903.77</v>
      </c>
      <c r="K17" s="7">
        <v>-5903.77</v>
      </c>
      <c r="L17" s="7">
        <v>14677.32</v>
      </c>
      <c r="M17" s="7">
        <v>0</v>
      </c>
      <c r="N17" s="7">
        <f t="shared" si="17"/>
        <v>14677.32</v>
      </c>
      <c r="O17" s="7">
        <v>14677.32</v>
      </c>
      <c r="P17" s="1">
        <f t="shared" si="18"/>
        <v>0</v>
      </c>
      <c r="Q17" s="1">
        <f t="shared" si="19"/>
        <v>14677.32</v>
      </c>
      <c r="R17" s="1">
        <v>14677.32</v>
      </c>
      <c r="S17" s="1">
        <f t="shared" si="20"/>
        <v>0</v>
      </c>
      <c r="T17" s="1">
        <f t="shared" si="21"/>
        <v>14677.32</v>
      </c>
      <c r="U17" s="1">
        <v>14677.32</v>
      </c>
      <c r="V17" s="1">
        <f t="shared" si="22"/>
        <v>0</v>
      </c>
      <c r="W17" s="1">
        <f t="shared" si="23"/>
        <v>14677.32</v>
      </c>
      <c r="X17" s="1">
        <v>16201.01</v>
      </c>
      <c r="Y17" s="41">
        <f t="shared" si="24"/>
        <v>1523.6900000000005</v>
      </c>
      <c r="Z17" s="1">
        <f t="shared" si="25"/>
        <v>16201.01</v>
      </c>
      <c r="AA17" s="1">
        <v>14972.45</v>
      </c>
      <c r="AB17" s="1">
        <f t="shared" si="13"/>
        <v>-1228.5599999999995</v>
      </c>
      <c r="AC17" s="1">
        <f t="shared" si="14"/>
        <v>14972.45</v>
      </c>
      <c r="AD17" s="41">
        <v>15197.15</v>
      </c>
      <c r="AE17" s="1">
        <f t="shared" si="15"/>
        <v>224.69999999999891</v>
      </c>
      <c r="AF17" s="1">
        <f t="shared" si="16"/>
        <v>15197.15</v>
      </c>
    </row>
    <row r="18" spans="1:32">
      <c r="A18" s="11">
        <v>92900</v>
      </c>
      <c r="B18" s="11">
        <v>12000</v>
      </c>
      <c r="C18" s="11" t="s">
        <v>213</v>
      </c>
      <c r="D18" s="7">
        <v>28855.1</v>
      </c>
      <c r="E18" s="7">
        <v>17575.73</v>
      </c>
      <c r="F18" s="7">
        <f>D18-E18</f>
        <v>11279.369999999999</v>
      </c>
      <c r="G18" s="7">
        <v>-11279.37</v>
      </c>
      <c r="H18" s="7">
        <f t="shared" si="26"/>
        <v>17575.729999999996</v>
      </c>
      <c r="I18" s="1">
        <v>14677.32</v>
      </c>
      <c r="J18" s="1">
        <f t="shared" si="27"/>
        <v>2898.4099999999962</v>
      </c>
      <c r="K18" s="1">
        <v>-2898.41</v>
      </c>
      <c r="L18" s="1">
        <f>H18+K18</f>
        <v>14677.319999999996</v>
      </c>
      <c r="N18" s="1">
        <f t="shared" si="17"/>
        <v>14677.319999999996</v>
      </c>
      <c r="O18" s="1">
        <v>14677.32</v>
      </c>
      <c r="P18" s="1">
        <f t="shared" si="18"/>
        <v>0</v>
      </c>
      <c r="Q18" s="1">
        <f t="shared" si="19"/>
        <v>14677.319999999996</v>
      </c>
      <c r="R18" s="1">
        <v>14677.32</v>
      </c>
      <c r="S18" s="1">
        <f t="shared" si="20"/>
        <v>0</v>
      </c>
      <c r="T18" s="1">
        <f t="shared" si="21"/>
        <v>14677.319999999996</v>
      </c>
      <c r="U18" s="1">
        <v>14677.32</v>
      </c>
      <c r="V18" s="1">
        <f t="shared" si="22"/>
        <v>0</v>
      </c>
      <c r="W18" s="1">
        <f t="shared" si="23"/>
        <v>14677.319999999996</v>
      </c>
      <c r="X18" s="1">
        <v>14824.1</v>
      </c>
      <c r="Y18" s="41">
        <f t="shared" si="24"/>
        <v>146.78000000000429</v>
      </c>
      <c r="Z18" s="1">
        <f t="shared" si="25"/>
        <v>14824.1</v>
      </c>
      <c r="AA18" s="1">
        <v>14972.45</v>
      </c>
      <c r="AB18" s="1">
        <f t="shared" si="13"/>
        <v>148.35000000000036</v>
      </c>
      <c r="AC18" s="1">
        <f t="shared" si="14"/>
        <v>14972.45</v>
      </c>
      <c r="AD18" s="41">
        <v>15197.15</v>
      </c>
      <c r="AE18" s="1">
        <f t="shared" si="15"/>
        <v>224.69999999999891</v>
      </c>
      <c r="AF18" s="1">
        <f t="shared" si="16"/>
        <v>15197.15</v>
      </c>
    </row>
    <row r="19" spans="1:32">
      <c r="A19" s="11">
        <v>93100</v>
      </c>
      <c r="B19" s="11">
        <v>12000</v>
      </c>
      <c r="C19" s="11" t="s">
        <v>216</v>
      </c>
      <c r="D19" s="7">
        <v>381341.56</v>
      </c>
      <c r="E19" s="7">
        <v>89084.41</v>
      </c>
      <c r="F19" s="7">
        <f>D19-E19</f>
        <v>292257.15000000002</v>
      </c>
      <c r="G19" s="7">
        <v>-292257.15000000002</v>
      </c>
      <c r="H19" s="7">
        <f t="shared" si="26"/>
        <v>89084.409999999974</v>
      </c>
      <c r="I19" s="1">
        <v>58709.279999999999</v>
      </c>
      <c r="J19" s="1">
        <f t="shared" si="27"/>
        <v>30375.129999999976</v>
      </c>
      <c r="K19" s="1">
        <v>-30375.13</v>
      </c>
      <c r="L19" s="1">
        <f>H19+K19</f>
        <v>58709.27999999997</v>
      </c>
      <c r="M19" s="7">
        <f>44031.96-L19</f>
        <v>-14677.319999999971</v>
      </c>
      <c r="N19" s="1">
        <f t="shared" si="17"/>
        <v>44031.96</v>
      </c>
      <c r="O19" s="1">
        <v>44031.96</v>
      </c>
      <c r="P19" s="1">
        <f t="shared" si="18"/>
        <v>0</v>
      </c>
      <c r="Q19" s="1">
        <f t="shared" si="19"/>
        <v>44031.96</v>
      </c>
      <c r="R19" s="1">
        <v>44031.96</v>
      </c>
      <c r="S19" s="1">
        <f t="shared" si="20"/>
        <v>0</v>
      </c>
      <c r="T19" s="1">
        <f t="shared" si="21"/>
        <v>44031.96</v>
      </c>
      <c r="U19" s="1">
        <v>44031.96</v>
      </c>
      <c r="V19" s="1">
        <f t="shared" si="22"/>
        <v>0</v>
      </c>
      <c r="W19" s="1">
        <f t="shared" si="23"/>
        <v>44031.96</v>
      </c>
      <c r="X19" s="1">
        <v>79326.789999999994</v>
      </c>
      <c r="Y19" s="41">
        <f t="shared" si="24"/>
        <v>35294.829999999994</v>
      </c>
      <c r="Z19" s="1">
        <f t="shared" si="25"/>
        <v>79326.789999999994</v>
      </c>
      <c r="AA19" s="1">
        <v>76258.48</v>
      </c>
      <c r="AB19" s="1">
        <f t="shared" si="13"/>
        <v>-3068.3099999999977</v>
      </c>
      <c r="AC19" s="1">
        <f t="shared" si="14"/>
        <v>76258.48</v>
      </c>
      <c r="AD19" s="41">
        <v>75985.75</v>
      </c>
      <c r="AE19" s="1">
        <f t="shared" si="15"/>
        <v>-272.72999999999593</v>
      </c>
      <c r="AF19" s="1">
        <f t="shared" si="16"/>
        <v>75985.75</v>
      </c>
    </row>
    <row r="20" spans="1:32">
      <c r="A20" s="11">
        <v>13200</v>
      </c>
      <c r="B20" s="11">
        <v>12001</v>
      </c>
      <c r="C20" s="42" t="s">
        <v>676</v>
      </c>
      <c r="D20" s="7">
        <v>0</v>
      </c>
      <c r="E20" s="7">
        <v>90495.75</v>
      </c>
      <c r="F20" s="7">
        <f>D20-E20</f>
        <v>-90495.75</v>
      </c>
      <c r="G20" s="7">
        <v>90495.75</v>
      </c>
      <c r="H20" s="7">
        <f t="shared" si="26"/>
        <v>90495.75</v>
      </c>
      <c r="I20" s="1">
        <v>64532.6</v>
      </c>
      <c r="J20" s="1">
        <f t="shared" si="27"/>
        <v>25963.15</v>
      </c>
      <c r="K20" s="1">
        <v>-25963.15</v>
      </c>
      <c r="L20" s="1">
        <f>H20+K20</f>
        <v>64532.6</v>
      </c>
      <c r="M20" s="7">
        <f>46947.62-L20</f>
        <v>-17584.979999999996</v>
      </c>
      <c r="N20" s="1">
        <f t="shared" si="17"/>
        <v>46947.62</v>
      </c>
      <c r="O20" s="1">
        <v>38719.56</v>
      </c>
      <c r="P20" s="1">
        <f t="shared" si="18"/>
        <v>-8228.0600000000049</v>
      </c>
      <c r="Q20" s="1">
        <f t="shared" si="19"/>
        <v>38719.56</v>
      </c>
      <c r="R20" s="1">
        <v>51626.080000000002</v>
      </c>
      <c r="S20" s="1">
        <f t="shared" si="20"/>
        <v>12906.520000000004</v>
      </c>
      <c r="T20" s="1">
        <f t="shared" si="21"/>
        <v>51626.080000000002</v>
      </c>
      <c r="U20" s="1">
        <v>38719.56</v>
      </c>
      <c r="V20" s="1">
        <f t="shared" si="22"/>
        <v>-12906.520000000004</v>
      </c>
      <c r="W20" s="1">
        <f t="shared" si="23"/>
        <v>38719.56</v>
      </c>
      <c r="X20" s="1">
        <v>45485.95</v>
      </c>
      <c r="Y20" s="41">
        <f t="shared" si="24"/>
        <v>6766.3899999999994</v>
      </c>
      <c r="Z20" s="1">
        <f t="shared" si="25"/>
        <v>45485.95</v>
      </c>
      <c r="AA20" s="1">
        <v>65829.77</v>
      </c>
      <c r="AB20" s="1">
        <f t="shared" si="13"/>
        <v>20343.820000000007</v>
      </c>
      <c r="AC20" s="1">
        <f t="shared" si="14"/>
        <v>65829.77</v>
      </c>
      <c r="AD20" s="41">
        <v>66817.5</v>
      </c>
      <c r="AE20" s="1">
        <f t="shared" si="15"/>
        <v>987.72999999999593</v>
      </c>
      <c r="AF20" s="1">
        <f t="shared" si="16"/>
        <v>66817.5</v>
      </c>
    </row>
    <row r="21" spans="1:32">
      <c r="A21" s="11">
        <v>15100</v>
      </c>
      <c r="B21" s="11">
        <v>12001</v>
      </c>
      <c r="C21" s="11" t="s">
        <v>156</v>
      </c>
      <c r="D21" s="7">
        <v>0</v>
      </c>
      <c r="E21" s="7">
        <v>115547.2</v>
      </c>
      <c r="F21" s="7">
        <f>D21-E21</f>
        <v>-115547.2</v>
      </c>
      <c r="G21" s="7">
        <v>115547.2</v>
      </c>
      <c r="H21" s="7">
        <f t="shared" si="26"/>
        <v>115547.2</v>
      </c>
      <c r="I21" s="1">
        <v>51626.080000000002</v>
      </c>
      <c r="J21" s="1">
        <f t="shared" si="27"/>
        <v>63921.119999999995</v>
      </c>
      <c r="K21" s="1">
        <v>-63921.120000000003</v>
      </c>
      <c r="L21" s="1">
        <f>H21+K21</f>
        <v>51626.079999999994</v>
      </c>
      <c r="M21" s="7">
        <v>0</v>
      </c>
      <c r="N21" s="1">
        <f t="shared" si="17"/>
        <v>51626.079999999994</v>
      </c>
      <c r="O21" s="1">
        <v>53426.92</v>
      </c>
      <c r="P21" s="1">
        <f t="shared" si="18"/>
        <v>1800.8400000000038</v>
      </c>
      <c r="Q21" s="1">
        <f t="shared" si="19"/>
        <v>53426.92</v>
      </c>
      <c r="R21" s="1">
        <v>64532.6</v>
      </c>
      <c r="S21" s="1">
        <f t="shared" si="20"/>
        <v>11105.68</v>
      </c>
      <c r="T21" s="1">
        <f t="shared" si="21"/>
        <v>64532.6</v>
      </c>
      <c r="U21" s="1">
        <v>64532.6</v>
      </c>
      <c r="V21" s="1">
        <f t="shared" si="22"/>
        <v>0</v>
      </c>
      <c r="W21" s="1">
        <f t="shared" si="23"/>
        <v>64532.6</v>
      </c>
      <c r="X21" s="1">
        <v>57312.75</v>
      </c>
      <c r="Y21" s="41">
        <f t="shared" si="24"/>
        <v>-7219.8499999999985</v>
      </c>
      <c r="Z21" s="1">
        <f t="shared" si="25"/>
        <v>57312.75</v>
      </c>
      <c r="AA21" s="1">
        <v>65829.77</v>
      </c>
      <c r="AB21" s="1">
        <f t="shared" si="13"/>
        <v>8517.0200000000041</v>
      </c>
      <c r="AC21" s="1">
        <f t="shared" si="14"/>
        <v>65829.77</v>
      </c>
      <c r="AD21" s="41">
        <v>80181</v>
      </c>
      <c r="AE21" s="1">
        <f t="shared" si="15"/>
        <v>14351.229999999996</v>
      </c>
      <c r="AF21" s="1">
        <f t="shared" si="16"/>
        <v>80181</v>
      </c>
    </row>
    <row r="22" spans="1:32">
      <c r="A22" s="13">
        <v>16500</v>
      </c>
      <c r="B22" s="11">
        <v>12001</v>
      </c>
      <c r="C22" s="11" t="s">
        <v>598</v>
      </c>
      <c r="D22" s="7"/>
      <c r="E22" s="7"/>
      <c r="F22" s="7"/>
      <c r="G22" s="7"/>
      <c r="H22" s="10">
        <f t="shared" si="26"/>
        <v>0</v>
      </c>
      <c r="I22" s="16">
        <v>12906.52</v>
      </c>
      <c r="J22" s="16">
        <f t="shared" si="27"/>
        <v>-12906.52</v>
      </c>
      <c r="K22" s="16">
        <v>12906.52</v>
      </c>
      <c r="L22" s="1">
        <f>H22+K22</f>
        <v>12906.52</v>
      </c>
      <c r="M22" s="10">
        <v>0</v>
      </c>
      <c r="N22" s="1">
        <f t="shared" si="17"/>
        <v>12906.52</v>
      </c>
      <c r="O22" s="1">
        <v>12906.52</v>
      </c>
      <c r="P22" s="1">
        <f t="shared" si="18"/>
        <v>0</v>
      </c>
      <c r="Q22" s="1">
        <f t="shared" si="19"/>
        <v>12906.52</v>
      </c>
      <c r="R22" s="41">
        <v>12906.52</v>
      </c>
      <c r="S22" s="1">
        <f t="shared" si="20"/>
        <v>0</v>
      </c>
      <c r="T22" s="1">
        <f t="shared" si="21"/>
        <v>12906.52</v>
      </c>
      <c r="U22" s="41">
        <v>12906.52</v>
      </c>
      <c r="V22" s="1">
        <f t="shared" si="22"/>
        <v>0</v>
      </c>
      <c r="W22" s="1">
        <f t="shared" si="23"/>
        <v>12906.52</v>
      </c>
      <c r="X22" s="41">
        <v>13979.85</v>
      </c>
      <c r="Y22" s="41">
        <f t="shared" si="24"/>
        <v>1073.33</v>
      </c>
      <c r="Z22" s="1">
        <f t="shared" si="25"/>
        <v>13979.85</v>
      </c>
      <c r="AA22" s="41">
        <v>13165.95</v>
      </c>
      <c r="AB22" s="1">
        <f t="shared" si="13"/>
        <v>-813.89999999999964</v>
      </c>
      <c r="AC22" s="1">
        <f t="shared" si="14"/>
        <v>13165.95</v>
      </c>
      <c r="AD22" s="41">
        <v>13363.5</v>
      </c>
      <c r="AE22" s="1">
        <f t="shared" si="15"/>
        <v>197.54999999999927</v>
      </c>
      <c r="AF22" s="1">
        <f t="shared" si="16"/>
        <v>13363.5</v>
      </c>
    </row>
    <row r="23" spans="1:32">
      <c r="A23" s="42">
        <v>17000</v>
      </c>
      <c r="B23" s="11">
        <v>12001</v>
      </c>
      <c r="C23" s="42" t="s">
        <v>678</v>
      </c>
      <c r="D23" s="7"/>
      <c r="E23" s="7"/>
      <c r="F23" s="7"/>
      <c r="G23" s="7"/>
      <c r="H23" s="7"/>
      <c r="I23" s="16"/>
      <c r="J23" s="1"/>
      <c r="K23" s="16"/>
      <c r="L23" s="1"/>
      <c r="M23" s="10"/>
      <c r="N23" s="1"/>
      <c r="O23" s="1"/>
      <c r="Q23" s="1">
        <v>0</v>
      </c>
      <c r="R23" s="41">
        <v>12906.52</v>
      </c>
      <c r="S23" s="1">
        <f t="shared" si="20"/>
        <v>12906.52</v>
      </c>
      <c r="T23" s="1">
        <f t="shared" si="21"/>
        <v>12906.52</v>
      </c>
      <c r="U23" s="41">
        <v>12906.52</v>
      </c>
      <c r="V23" s="1">
        <f t="shared" si="22"/>
        <v>0</v>
      </c>
      <c r="W23" s="1">
        <f t="shared" si="23"/>
        <v>12906.52</v>
      </c>
      <c r="X23" s="41">
        <v>13035.59</v>
      </c>
      <c r="Y23" s="41">
        <f t="shared" si="24"/>
        <v>129.06999999999971</v>
      </c>
      <c r="Z23" s="1">
        <f t="shared" si="25"/>
        <v>13035.59</v>
      </c>
      <c r="AA23" s="41">
        <v>13165.95</v>
      </c>
      <c r="AB23" s="1">
        <f t="shared" si="13"/>
        <v>130.36000000000058</v>
      </c>
      <c r="AC23" s="1">
        <f t="shared" si="14"/>
        <v>13165.95</v>
      </c>
      <c r="AD23" s="41">
        <v>13363.5</v>
      </c>
      <c r="AE23" s="1">
        <f t="shared" si="15"/>
        <v>197.54999999999927</v>
      </c>
      <c r="AF23" s="1">
        <f t="shared" si="16"/>
        <v>13363.5</v>
      </c>
    </row>
    <row r="24" spans="1:32">
      <c r="A24" s="13">
        <v>17100</v>
      </c>
      <c r="B24" s="11">
        <v>12001</v>
      </c>
      <c r="C24" s="11" t="s">
        <v>150</v>
      </c>
      <c r="D24" s="7">
        <v>0</v>
      </c>
      <c r="E24" s="7">
        <v>16455.599999999999</v>
      </c>
      <c r="F24" s="7">
        <f>D24-E24</f>
        <v>-16455.599999999999</v>
      </c>
      <c r="G24" s="7">
        <v>16455.599999999999</v>
      </c>
      <c r="H24" s="7">
        <f>D24+G24</f>
        <v>16455.599999999999</v>
      </c>
      <c r="I24" s="16">
        <v>12906.52</v>
      </c>
      <c r="J24" s="16">
        <f>H24-I24</f>
        <v>3549.0799999999981</v>
      </c>
      <c r="K24" s="16">
        <v>-3549.08</v>
      </c>
      <c r="L24" s="16">
        <f>H24+K24</f>
        <v>12906.519999999999</v>
      </c>
      <c r="M24" s="10">
        <v>0</v>
      </c>
      <c r="N24" s="1">
        <f t="shared" ref="N24:N29" si="28">L24+M24</f>
        <v>12906.519999999999</v>
      </c>
      <c r="O24" s="1">
        <v>12906.52</v>
      </c>
      <c r="P24" s="1">
        <f t="shared" ref="P24:P29" si="29">O24-N24</f>
        <v>0</v>
      </c>
      <c r="Q24" s="1">
        <f t="shared" ref="Q24:Q29" si="30">N24+P24</f>
        <v>12906.519999999999</v>
      </c>
      <c r="R24" s="41">
        <v>12906.52</v>
      </c>
      <c r="S24" s="1">
        <f t="shared" si="20"/>
        <v>0</v>
      </c>
      <c r="T24" s="1">
        <f t="shared" si="21"/>
        <v>12906.519999999999</v>
      </c>
      <c r="U24" s="41">
        <v>12906.52</v>
      </c>
      <c r="V24" s="1">
        <f t="shared" si="22"/>
        <v>0</v>
      </c>
      <c r="W24" s="1">
        <f t="shared" si="23"/>
        <v>12906.519999999999</v>
      </c>
      <c r="X24" s="41">
        <v>14032.83</v>
      </c>
      <c r="Y24" s="41">
        <f t="shared" si="24"/>
        <v>1126.3100000000013</v>
      </c>
      <c r="Z24" s="1">
        <f t="shared" si="25"/>
        <v>14032.83</v>
      </c>
      <c r="AA24" s="41">
        <v>13165.95</v>
      </c>
      <c r="AB24" s="1">
        <f t="shared" si="13"/>
        <v>-866.8799999999992</v>
      </c>
      <c r="AC24" s="1">
        <f t="shared" si="14"/>
        <v>13165.95</v>
      </c>
      <c r="AD24" s="41">
        <v>13363.5</v>
      </c>
      <c r="AE24" s="1">
        <f t="shared" si="15"/>
        <v>197.54999999999927</v>
      </c>
      <c r="AF24" s="1">
        <f t="shared" si="16"/>
        <v>13363.5</v>
      </c>
    </row>
    <row r="25" spans="1:32">
      <c r="A25" s="13">
        <v>23110</v>
      </c>
      <c r="B25" s="11">
        <v>12001</v>
      </c>
      <c r="C25" s="11" t="s">
        <v>107</v>
      </c>
      <c r="D25" s="8"/>
      <c r="E25" s="8"/>
      <c r="F25" s="8"/>
      <c r="G25" s="8"/>
      <c r="H25" s="8"/>
      <c r="I25" s="8"/>
      <c r="J25" s="8"/>
      <c r="K25" s="8"/>
      <c r="L25" s="10">
        <v>137669.54</v>
      </c>
      <c r="M25" s="10">
        <f>116158.68-L25</f>
        <v>-21510.860000000015</v>
      </c>
      <c r="N25" s="7">
        <f t="shared" si="28"/>
        <v>116158.68</v>
      </c>
      <c r="O25" s="7">
        <v>129065.2</v>
      </c>
      <c r="P25" s="1">
        <f t="shared" si="29"/>
        <v>12906.520000000004</v>
      </c>
      <c r="Q25" s="1">
        <f t="shared" si="30"/>
        <v>129065.2</v>
      </c>
      <c r="R25" s="41">
        <v>116158.68</v>
      </c>
      <c r="S25" s="1">
        <f t="shared" si="20"/>
        <v>-12906.520000000004</v>
      </c>
      <c r="T25" s="1">
        <f t="shared" si="21"/>
        <v>116158.68</v>
      </c>
      <c r="U25" s="41">
        <v>116158.68</v>
      </c>
      <c r="V25" s="1">
        <f t="shared" si="22"/>
        <v>0</v>
      </c>
      <c r="W25" s="1">
        <f t="shared" si="23"/>
        <v>116158.68</v>
      </c>
      <c r="X25" s="41">
        <v>126586.72</v>
      </c>
      <c r="Y25" s="41">
        <f t="shared" si="24"/>
        <v>10428.040000000008</v>
      </c>
      <c r="Z25" s="1">
        <f t="shared" si="25"/>
        <v>126586.72</v>
      </c>
      <c r="AA25" s="41">
        <v>133086.43</v>
      </c>
      <c r="AB25" s="41">
        <f t="shared" si="13"/>
        <v>6499.7099999999919</v>
      </c>
      <c r="AC25" s="1">
        <f t="shared" si="14"/>
        <v>133086.43</v>
      </c>
      <c r="AD25" s="41">
        <v>146998.44</v>
      </c>
      <c r="AE25" s="1">
        <f t="shared" si="15"/>
        <v>13912.010000000009</v>
      </c>
      <c r="AF25" s="1">
        <f t="shared" si="16"/>
        <v>146998.44</v>
      </c>
    </row>
    <row r="26" spans="1:32">
      <c r="A26" s="13">
        <v>23111</v>
      </c>
      <c r="B26" s="11">
        <v>12001</v>
      </c>
      <c r="C26" s="11" t="s">
        <v>114</v>
      </c>
      <c r="D26" s="7">
        <v>0</v>
      </c>
      <c r="E26" s="7">
        <v>32786.800000000003</v>
      </c>
      <c r="F26" s="7">
        <f>D26-E26</f>
        <v>-32786.800000000003</v>
      </c>
      <c r="G26" s="7">
        <v>32786.800000000003</v>
      </c>
      <c r="H26" s="7">
        <f>D26+G26</f>
        <v>32786.800000000003</v>
      </c>
      <c r="I26" s="10">
        <v>25813.040000000001</v>
      </c>
      <c r="J26" s="10">
        <f>H26-I26</f>
        <v>6973.760000000002</v>
      </c>
      <c r="K26" s="10">
        <v>-6973.76</v>
      </c>
      <c r="L26" s="7">
        <v>25813.040000000001</v>
      </c>
      <c r="M26" s="10">
        <f>51626.08-L26</f>
        <v>25813.040000000001</v>
      </c>
      <c r="N26" s="7">
        <f t="shared" si="28"/>
        <v>51626.080000000002</v>
      </c>
      <c r="O26" s="7">
        <v>38719.56</v>
      </c>
      <c r="P26" s="1">
        <f t="shared" si="29"/>
        <v>-12906.520000000004</v>
      </c>
      <c r="Q26" s="1">
        <f t="shared" si="30"/>
        <v>38719.56</v>
      </c>
      <c r="R26" s="41">
        <v>51626.080000000002</v>
      </c>
      <c r="S26" s="1">
        <f t="shared" si="20"/>
        <v>12906.520000000004</v>
      </c>
      <c r="T26" s="1">
        <f t="shared" si="21"/>
        <v>51626.080000000002</v>
      </c>
      <c r="U26" s="41">
        <v>51626.080000000002</v>
      </c>
      <c r="V26" s="1">
        <f t="shared" si="22"/>
        <v>0</v>
      </c>
      <c r="W26" s="1">
        <f t="shared" si="23"/>
        <v>51626.080000000002</v>
      </c>
      <c r="X26" s="41">
        <v>56240.26</v>
      </c>
      <c r="Y26" s="41">
        <f t="shared" si="24"/>
        <v>4614.18</v>
      </c>
      <c r="Z26" s="1">
        <f t="shared" si="25"/>
        <v>56240.26</v>
      </c>
      <c r="AA26" s="41">
        <v>52663.8</v>
      </c>
      <c r="AB26" s="41">
        <f t="shared" si="13"/>
        <v>-3576.4599999999991</v>
      </c>
      <c r="AC26" s="1">
        <f t="shared" si="14"/>
        <v>52663.8</v>
      </c>
      <c r="AD26" s="41">
        <v>53454</v>
      </c>
      <c r="AE26" s="1">
        <f t="shared" si="15"/>
        <v>790.19999999999709</v>
      </c>
      <c r="AF26" s="1">
        <f t="shared" si="16"/>
        <v>53454</v>
      </c>
    </row>
    <row r="27" spans="1:32">
      <c r="A27" s="42">
        <v>23113</v>
      </c>
      <c r="B27" s="11">
        <v>12001</v>
      </c>
      <c r="C27" s="11" t="s">
        <v>135</v>
      </c>
      <c r="D27" s="7">
        <v>0</v>
      </c>
      <c r="E27" s="7">
        <v>33744.86</v>
      </c>
      <c r="F27" s="7">
        <f>D27-E27</f>
        <v>-33744.86</v>
      </c>
      <c r="G27" s="7">
        <v>33744.86</v>
      </c>
      <c r="H27" s="7">
        <f>D27+G27</f>
        <v>33744.86</v>
      </c>
      <c r="I27" s="7">
        <v>25813.040000000001</v>
      </c>
      <c r="J27" s="7">
        <f>H27-I27</f>
        <v>7931.82</v>
      </c>
      <c r="K27" s="7">
        <v>-7931.82</v>
      </c>
      <c r="L27" s="7">
        <v>25813.040000000001</v>
      </c>
      <c r="M27" s="7">
        <f>63141.53-L27</f>
        <v>37328.49</v>
      </c>
      <c r="N27" s="7">
        <f t="shared" si="28"/>
        <v>63141.53</v>
      </c>
      <c r="O27" s="7">
        <v>69972.56</v>
      </c>
      <c r="P27" s="1">
        <f t="shared" si="29"/>
        <v>6831.0299999999988</v>
      </c>
      <c r="Q27" s="1">
        <f t="shared" si="30"/>
        <v>69972.56</v>
      </c>
      <c r="R27" s="41">
        <v>70063.05</v>
      </c>
      <c r="S27" s="1">
        <f t="shared" si="20"/>
        <v>90.490000000005239</v>
      </c>
      <c r="T27" s="1">
        <f t="shared" si="21"/>
        <v>70063.05</v>
      </c>
      <c r="U27" s="41">
        <v>90345.64</v>
      </c>
      <c r="V27" s="1">
        <f t="shared" si="22"/>
        <v>20282.589999999997</v>
      </c>
      <c r="W27" s="1">
        <f t="shared" si="23"/>
        <v>90345.64</v>
      </c>
      <c r="X27" s="41">
        <v>108608.89</v>
      </c>
      <c r="Y27" s="41">
        <f t="shared" si="24"/>
        <v>18263.25</v>
      </c>
      <c r="Z27" s="1">
        <f t="shared" si="25"/>
        <v>108608.89</v>
      </c>
      <c r="AA27" s="41">
        <v>78995.740000000005</v>
      </c>
      <c r="AB27" s="41">
        <f t="shared" si="13"/>
        <v>-29613.149999999994</v>
      </c>
      <c r="AC27" s="1">
        <f t="shared" si="14"/>
        <v>78995.740000000005</v>
      </c>
      <c r="AD27" s="41">
        <v>80180.88</v>
      </c>
      <c r="AE27" s="1">
        <f t="shared" si="15"/>
        <v>1185.1399999999994</v>
      </c>
      <c r="AF27" s="1">
        <f t="shared" si="16"/>
        <v>80180.88</v>
      </c>
    </row>
    <row r="28" spans="1:32">
      <c r="A28" s="11">
        <v>33220</v>
      </c>
      <c r="B28" s="11">
        <v>12001</v>
      </c>
      <c r="C28" s="11" t="s">
        <v>565</v>
      </c>
      <c r="D28" s="7">
        <v>0</v>
      </c>
      <c r="E28" s="7">
        <v>16348.77</v>
      </c>
      <c r="F28" s="7">
        <f>D28-E28</f>
        <v>-16348.77</v>
      </c>
      <c r="G28" s="7">
        <v>16348.77</v>
      </c>
      <c r="H28" s="7">
        <f>D28+G28</f>
        <v>16348.77</v>
      </c>
      <c r="I28" s="1">
        <v>0</v>
      </c>
      <c r="J28" s="1">
        <f>H28-I28</f>
        <v>16348.77</v>
      </c>
      <c r="K28" s="1">
        <v>-16348.77</v>
      </c>
      <c r="L28" s="1">
        <f>H28+K28</f>
        <v>0</v>
      </c>
      <c r="M28" s="7">
        <v>12906.52</v>
      </c>
      <c r="N28" s="1">
        <f t="shared" si="28"/>
        <v>12906.52</v>
      </c>
      <c r="O28" s="1">
        <v>12906.52</v>
      </c>
      <c r="P28" s="1">
        <f t="shared" si="29"/>
        <v>0</v>
      </c>
      <c r="Q28" s="1">
        <f t="shared" si="30"/>
        <v>12906.52</v>
      </c>
      <c r="R28" s="1">
        <v>12906.52</v>
      </c>
      <c r="S28" s="1">
        <f t="shared" si="20"/>
        <v>0</v>
      </c>
      <c r="T28" s="1">
        <f t="shared" si="21"/>
        <v>12906.52</v>
      </c>
      <c r="U28" s="1">
        <v>12906.52</v>
      </c>
      <c r="V28" s="1">
        <f t="shared" si="22"/>
        <v>0</v>
      </c>
      <c r="W28" s="1">
        <f t="shared" si="23"/>
        <v>12906.52</v>
      </c>
      <c r="X28" s="1">
        <f>931.33+13035.59</f>
        <v>13966.92</v>
      </c>
      <c r="Y28" s="41">
        <f t="shared" si="24"/>
        <v>1060.3999999999996</v>
      </c>
      <c r="Z28" s="1">
        <f t="shared" si="25"/>
        <v>13966.92</v>
      </c>
      <c r="AA28" s="1">
        <v>13165.95</v>
      </c>
      <c r="AB28" s="41">
        <f t="shared" si="13"/>
        <v>-800.96999999999935</v>
      </c>
      <c r="AC28" s="1">
        <f t="shared" si="14"/>
        <v>13165.95</v>
      </c>
      <c r="AD28" s="41">
        <v>13363.5</v>
      </c>
      <c r="AE28" s="1">
        <f t="shared" si="15"/>
        <v>197.54999999999927</v>
      </c>
      <c r="AF28" s="1">
        <f t="shared" si="16"/>
        <v>13363.5</v>
      </c>
    </row>
    <row r="29" spans="1:32">
      <c r="A29" s="11">
        <v>33400</v>
      </c>
      <c r="B29" s="11">
        <v>12001</v>
      </c>
      <c r="C29" s="11" t="s">
        <v>598</v>
      </c>
      <c r="D29" s="7"/>
      <c r="E29" s="7"/>
      <c r="F29" s="7"/>
      <c r="G29" s="7"/>
      <c r="H29" s="7">
        <v>0</v>
      </c>
      <c r="I29" s="16">
        <v>12906.52</v>
      </c>
      <c r="J29" s="1">
        <f>H29-I29</f>
        <v>-12906.52</v>
      </c>
      <c r="K29" s="1">
        <v>12906.52</v>
      </c>
      <c r="L29" s="1">
        <f>H29+K29</f>
        <v>12906.52</v>
      </c>
      <c r="M29" s="7">
        <v>0</v>
      </c>
      <c r="N29" s="1">
        <f t="shared" si="28"/>
        <v>12906.52</v>
      </c>
      <c r="O29" s="1">
        <v>12906.52</v>
      </c>
      <c r="P29" s="1">
        <f t="shared" si="29"/>
        <v>0</v>
      </c>
      <c r="Q29" s="1">
        <f t="shared" si="30"/>
        <v>12906.52</v>
      </c>
      <c r="R29" s="1">
        <v>12906.52</v>
      </c>
      <c r="S29" s="1">
        <f t="shared" si="20"/>
        <v>0</v>
      </c>
      <c r="T29" s="1">
        <f t="shared" si="21"/>
        <v>12906.52</v>
      </c>
      <c r="U29" s="1">
        <v>12906.52</v>
      </c>
      <c r="V29" s="1">
        <f t="shared" si="22"/>
        <v>0</v>
      </c>
      <c r="W29" s="1">
        <f t="shared" si="23"/>
        <v>12906.52</v>
      </c>
      <c r="X29" s="1">
        <v>14334.32</v>
      </c>
      <c r="Y29" s="41">
        <f t="shared" si="24"/>
        <v>1427.7999999999993</v>
      </c>
      <c r="Z29" s="1">
        <f t="shared" si="25"/>
        <v>14334.32</v>
      </c>
      <c r="AA29" s="1">
        <v>13165.95</v>
      </c>
      <c r="AB29" s="1">
        <f t="shared" si="13"/>
        <v>-1168.369999999999</v>
      </c>
      <c r="AC29" s="1">
        <f t="shared" si="14"/>
        <v>13165.95</v>
      </c>
      <c r="AD29" s="41">
        <v>13363.5</v>
      </c>
      <c r="AE29" s="1">
        <f t="shared" si="15"/>
        <v>197.54999999999927</v>
      </c>
      <c r="AF29" s="1">
        <f t="shared" si="16"/>
        <v>13363.5</v>
      </c>
    </row>
    <row r="30" spans="1:32">
      <c r="A30" s="11">
        <v>33710</v>
      </c>
      <c r="B30" s="13">
        <v>12001</v>
      </c>
      <c r="C30" s="11" t="s">
        <v>598</v>
      </c>
      <c r="D30" s="7"/>
      <c r="E30" s="7"/>
      <c r="F30" s="7"/>
      <c r="G30" s="7"/>
      <c r="H30" s="7"/>
      <c r="I30" s="7"/>
      <c r="J30" s="7"/>
      <c r="K30" s="7"/>
      <c r="L30" s="7"/>
      <c r="N30" s="7"/>
      <c r="O30" s="7"/>
      <c r="T30" s="1"/>
      <c r="V30" s="1"/>
      <c r="W30" s="1"/>
      <c r="Y30" s="41"/>
      <c r="Z30" s="1">
        <v>0</v>
      </c>
      <c r="AA30" s="1">
        <v>13165.95</v>
      </c>
      <c r="AB30" s="1">
        <f t="shared" si="13"/>
        <v>13165.95</v>
      </c>
      <c r="AC30" s="1">
        <f t="shared" si="14"/>
        <v>13165.95</v>
      </c>
      <c r="AD30" s="41">
        <v>13363.5</v>
      </c>
      <c r="AE30" s="1">
        <f t="shared" si="15"/>
        <v>197.54999999999927</v>
      </c>
      <c r="AF30" s="1">
        <f t="shared" si="16"/>
        <v>13363.5</v>
      </c>
    </row>
    <row r="31" spans="1:32">
      <c r="A31" s="13">
        <v>43200</v>
      </c>
      <c r="B31" s="11">
        <v>12001</v>
      </c>
      <c r="C31" s="11" t="s">
        <v>179</v>
      </c>
      <c r="D31" s="7">
        <v>0</v>
      </c>
      <c r="E31" s="7">
        <v>32437.19</v>
      </c>
      <c r="F31" s="7">
        <f t="shared" ref="F31:F38" si="31">D31-E31</f>
        <v>-32437.19</v>
      </c>
      <c r="G31" s="7">
        <v>32437.19</v>
      </c>
      <c r="H31" s="7">
        <f t="shared" ref="H31:H38" si="32">D31+G31</f>
        <v>32437.19</v>
      </c>
      <c r="I31" s="16">
        <v>25813.040000000001</v>
      </c>
      <c r="J31" s="16">
        <f t="shared" ref="J31:J38" si="33">H31-I31</f>
        <v>6624.1499999999978</v>
      </c>
      <c r="K31" s="16">
        <v>-6624.15</v>
      </c>
      <c r="L31" s="1">
        <f>H31+K31</f>
        <v>25813.040000000001</v>
      </c>
      <c r="M31" s="7">
        <v>0</v>
      </c>
      <c r="N31" s="1">
        <f t="shared" ref="N31:N40" si="34">L31+M31</f>
        <v>25813.040000000001</v>
      </c>
      <c r="O31" s="1">
        <v>25813.040000000001</v>
      </c>
      <c r="P31" s="1">
        <f t="shared" ref="P31:P40" si="35">O31-N31</f>
        <v>0</v>
      </c>
      <c r="Q31" s="1">
        <f t="shared" ref="Q31:Q40" si="36">N31+P31</f>
        <v>25813.040000000001</v>
      </c>
      <c r="R31" s="1">
        <v>25813.040000000001</v>
      </c>
      <c r="S31" s="1">
        <f t="shared" ref="S31:S40" si="37">R31-Q31</f>
        <v>0</v>
      </c>
      <c r="T31" s="1">
        <f t="shared" ref="T31:T40" si="38">Q31+S31</f>
        <v>25813.040000000001</v>
      </c>
      <c r="U31" s="1">
        <v>25813.040000000001</v>
      </c>
      <c r="V31" s="1">
        <f t="shared" ref="V31:V41" si="39">U31-T31</f>
        <v>0</v>
      </c>
      <c r="W31" s="1">
        <f t="shared" ref="W31:W41" si="40">T31+V31</f>
        <v>25813.040000000001</v>
      </c>
      <c r="X31" s="1">
        <v>28368.16</v>
      </c>
      <c r="Y31" s="41">
        <f t="shared" ref="Y31:Y41" si="41">X31-W31</f>
        <v>2555.119999999999</v>
      </c>
      <c r="Z31" s="1">
        <f t="shared" ref="Z31:Z41" si="42">W31+Y31</f>
        <v>28368.16</v>
      </c>
      <c r="AA31" s="1">
        <v>26331.9</v>
      </c>
      <c r="AB31" s="41">
        <f t="shared" si="13"/>
        <v>-2036.2599999999984</v>
      </c>
      <c r="AC31" s="1">
        <f t="shared" si="14"/>
        <v>26331.9</v>
      </c>
      <c r="AD31" s="41">
        <v>26727</v>
      </c>
      <c r="AE31" s="1">
        <f t="shared" si="15"/>
        <v>395.09999999999854</v>
      </c>
      <c r="AF31" s="1">
        <f t="shared" si="16"/>
        <v>26727</v>
      </c>
    </row>
    <row r="32" spans="1:32">
      <c r="A32" s="11">
        <v>92000</v>
      </c>
      <c r="B32" s="11">
        <v>12001</v>
      </c>
      <c r="C32" s="11" t="s">
        <v>192</v>
      </c>
      <c r="D32" s="7">
        <v>0</v>
      </c>
      <c r="E32" s="7">
        <v>49440.54</v>
      </c>
      <c r="F32" s="7">
        <f t="shared" si="31"/>
        <v>-49440.54</v>
      </c>
      <c r="G32" s="7">
        <v>49440.54</v>
      </c>
      <c r="H32" s="7">
        <f t="shared" si="32"/>
        <v>49440.54</v>
      </c>
      <c r="I32" s="1">
        <v>38719.56</v>
      </c>
      <c r="J32" s="1">
        <f t="shared" si="33"/>
        <v>10720.980000000003</v>
      </c>
      <c r="K32" s="1">
        <v>-10720.98</v>
      </c>
      <c r="L32" s="1">
        <f>H32+K32</f>
        <v>38719.56</v>
      </c>
      <c r="M32" s="7">
        <f>25813.04-L32</f>
        <v>-12906.519999999997</v>
      </c>
      <c r="N32" s="1">
        <f t="shared" si="34"/>
        <v>25813.040000000001</v>
      </c>
      <c r="O32" s="1">
        <v>25813.040000000001</v>
      </c>
      <c r="P32" s="1">
        <f t="shared" si="35"/>
        <v>0</v>
      </c>
      <c r="Q32" s="1">
        <f t="shared" si="36"/>
        <v>25813.040000000001</v>
      </c>
      <c r="R32" s="1">
        <v>25813.040000000001</v>
      </c>
      <c r="S32" s="1">
        <f t="shared" si="37"/>
        <v>0</v>
      </c>
      <c r="T32" s="1">
        <f t="shared" si="38"/>
        <v>25813.040000000001</v>
      </c>
      <c r="U32" s="1">
        <v>25813.040000000001</v>
      </c>
      <c r="V32" s="1">
        <f t="shared" si="39"/>
        <v>0</v>
      </c>
      <c r="W32" s="1">
        <f t="shared" si="40"/>
        <v>25813.040000000001</v>
      </c>
      <c r="X32" s="1">
        <v>27985.56</v>
      </c>
      <c r="Y32" s="41">
        <f t="shared" si="41"/>
        <v>2172.5200000000004</v>
      </c>
      <c r="Z32" s="1">
        <f t="shared" si="42"/>
        <v>27985.56</v>
      </c>
      <c r="AA32" s="1">
        <v>39497.86</v>
      </c>
      <c r="AB32" s="1">
        <f t="shared" si="13"/>
        <v>11512.3</v>
      </c>
      <c r="AC32" s="1">
        <f t="shared" si="14"/>
        <v>39497.86</v>
      </c>
      <c r="AD32" s="41">
        <v>40090.5</v>
      </c>
      <c r="AE32" s="1">
        <f t="shared" si="15"/>
        <v>592.63999999999942</v>
      </c>
      <c r="AF32" s="1">
        <f t="shared" si="16"/>
        <v>40090.5</v>
      </c>
    </row>
    <row r="33" spans="1:32">
      <c r="A33" s="11">
        <v>92020</v>
      </c>
      <c r="B33" s="11">
        <v>12001</v>
      </c>
      <c r="C33" s="11" t="s">
        <v>208</v>
      </c>
      <c r="D33" s="7">
        <v>0</v>
      </c>
      <c r="E33" s="7">
        <v>16259.51</v>
      </c>
      <c r="F33" s="7">
        <f t="shared" si="31"/>
        <v>-16259.51</v>
      </c>
      <c r="G33" s="7">
        <v>16259.51</v>
      </c>
      <c r="H33" s="7">
        <f t="shared" si="32"/>
        <v>16259.51</v>
      </c>
      <c r="I33" s="7">
        <v>12906.52</v>
      </c>
      <c r="J33" s="7">
        <f t="shared" si="33"/>
        <v>3352.99</v>
      </c>
      <c r="K33" s="7">
        <v>-3352.99</v>
      </c>
      <c r="L33" s="7">
        <v>12906.52</v>
      </c>
      <c r="M33" s="7">
        <v>0</v>
      </c>
      <c r="N33" s="7">
        <f t="shared" si="34"/>
        <v>12906.52</v>
      </c>
      <c r="O33" s="7">
        <v>12906.52</v>
      </c>
      <c r="P33" s="1">
        <f t="shared" si="35"/>
        <v>0</v>
      </c>
      <c r="Q33" s="1">
        <f t="shared" si="36"/>
        <v>12906.52</v>
      </c>
      <c r="R33" s="1">
        <v>12906.52</v>
      </c>
      <c r="S33" s="1">
        <f t="shared" si="37"/>
        <v>0</v>
      </c>
      <c r="T33" s="1">
        <f t="shared" si="38"/>
        <v>12906.52</v>
      </c>
      <c r="U33" s="1">
        <v>12906.52</v>
      </c>
      <c r="V33" s="1">
        <f t="shared" si="39"/>
        <v>0</v>
      </c>
      <c r="W33" s="1">
        <f t="shared" si="40"/>
        <v>12906.52</v>
      </c>
      <c r="X33" s="1">
        <v>13992.78</v>
      </c>
      <c r="Y33" s="41">
        <f t="shared" si="41"/>
        <v>1086.2600000000002</v>
      </c>
      <c r="Z33" s="1">
        <f t="shared" si="42"/>
        <v>13992.78</v>
      </c>
      <c r="AA33" s="1">
        <v>13165.95</v>
      </c>
      <c r="AB33" s="1">
        <f t="shared" si="13"/>
        <v>-826.82999999999993</v>
      </c>
      <c r="AC33" s="1">
        <f t="shared" si="14"/>
        <v>13165.95</v>
      </c>
      <c r="AD33" s="41">
        <v>13363.5</v>
      </c>
      <c r="AE33" s="1">
        <f t="shared" si="15"/>
        <v>197.54999999999927</v>
      </c>
      <c r="AF33" s="1">
        <f t="shared" si="16"/>
        <v>13363.5</v>
      </c>
    </row>
    <row r="34" spans="1:32">
      <c r="A34" s="11">
        <v>93100</v>
      </c>
      <c r="B34" s="11">
        <v>12001</v>
      </c>
      <c r="C34" s="11" t="s">
        <v>217</v>
      </c>
      <c r="D34" s="7">
        <v>0</v>
      </c>
      <c r="E34" s="7">
        <v>33807.61</v>
      </c>
      <c r="F34" s="7">
        <f t="shared" si="31"/>
        <v>-33807.61</v>
      </c>
      <c r="G34" s="7">
        <v>33807.61</v>
      </c>
      <c r="H34" s="7">
        <f t="shared" si="32"/>
        <v>33807.61</v>
      </c>
      <c r="I34" s="1">
        <v>25813.040000000001</v>
      </c>
      <c r="J34" s="1">
        <f t="shared" si="33"/>
        <v>7994.57</v>
      </c>
      <c r="K34" s="1">
        <v>-7994.57</v>
      </c>
      <c r="L34" s="1">
        <f>H34+K34</f>
        <v>25813.040000000001</v>
      </c>
      <c r="N34" s="1">
        <f t="shared" si="34"/>
        <v>25813.040000000001</v>
      </c>
      <c r="O34" s="1">
        <v>12906.52</v>
      </c>
      <c r="P34" s="1">
        <f t="shared" si="35"/>
        <v>-12906.52</v>
      </c>
      <c r="Q34" s="1">
        <f t="shared" si="36"/>
        <v>12906.52</v>
      </c>
      <c r="R34" s="1">
        <v>12906.52</v>
      </c>
      <c r="S34" s="1">
        <f t="shared" si="37"/>
        <v>0</v>
      </c>
      <c r="T34" s="1">
        <f t="shared" si="38"/>
        <v>12906.52</v>
      </c>
      <c r="U34" s="1">
        <v>12906.52</v>
      </c>
      <c r="V34" s="1">
        <f t="shared" si="39"/>
        <v>0</v>
      </c>
      <c r="W34" s="1">
        <f t="shared" si="40"/>
        <v>12906.52</v>
      </c>
      <c r="X34" s="1">
        <v>28239.8</v>
      </c>
      <c r="Y34" s="41">
        <f t="shared" si="41"/>
        <v>15333.279999999999</v>
      </c>
      <c r="Z34" s="1">
        <f t="shared" si="42"/>
        <v>28239.8</v>
      </c>
      <c r="AA34" s="1">
        <v>27758.81</v>
      </c>
      <c r="AB34" s="1">
        <f t="shared" si="13"/>
        <v>-480.98999999999796</v>
      </c>
      <c r="AC34" s="1">
        <f t="shared" si="14"/>
        <v>27758.81</v>
      </c>
      <c r="AD34" s="41">
        <v>40090.5</v>
      </c>
      <c r="AE34" s="1">
        <f t="shared" si="15"/>
        <v>12331.689999999999</v>
      </c>
      <c r="AF34" s="1">
        <f t="shared" si="16"/>
        <v>40090.5</v>
      </c>
    </row>
    <row r="35" spans="1:32">
      <c r="A35" s="11">
        <v>13000</v>
      </c>
      <c r="B35" s="11">
        <v>12003</v>
      </c>
      <c r="C35" s="11" t="s">
        <v>76</v>
      </c>
      <c r="D35" s="7">
        <v>0</v>
      </c>
      <c r="E35" s="7">
        <v>62959.34</v>
      </c>
      <c r="F35" s="7">
        <f t="shared" si="31"/>
        <v>-62959.34</v>
      </c>
      <c r="G35" s="7">
        <v>62959.34</v>
      </c>
      <c r="H35" s="7">
        <f t="shared" si="32"/>
        <v>62959.34</v>
      </c>
      <c r="I35" s="1">
        <v>49424.2</v>
      </c>
      <c r="J35" s="1">
        <f t="shared" si="33"/>
        <v>13535.14</v>
      </c>
      <c r="K35" s="1">
        <v>-13535.14</v>
      </c>
      <c r="L35" s="1">
        <f>H35+K35</f>
        <v>49424.2</v>
      </c>
      <c r="N35" s="1">
        <f t="shared" si="34"/>
        <v>49424.2</v>
      </c>
      <c r="O35" s="1">
        <v>49424.2</v>
      </c>
      <c r="P35" s="1">
        <f t="shared" si="35"/>
        <v>0</v>
      </c>
      <c r="Q35" s="1">
        <f t="shared" si="36"/>
        <v>49424.2</v>
      </c>
      <c r="R35" s="1">
        <v>49424.2</v>
      </c>
      <c r="S35" s="1">
        <f t="shared" si="37"/>
        <v>0</v>
      </c>
      <c r="T35" s="1">
        <f t="shared" si="38"/>
        <v>49424.2</v>
      </c>
      <c r="U35" s="1">
        <v>49424.2</v>
      </c>
      <c r="V35" s="1">
        <f t="shared" si="39"/>
        <v>0</v>
      </c>
      <c r="W35" s="1">
        <f t="shared" si="40"/>
        <v>49424.2</v>
      </c>
      <c r="X35" s="1">
        <v>54742.3</v>
      </c>
      <c r="Y35" s="41">
        <f t="shared" si="41"/>
        <v>5318.1000000000058</v>
      </c>
      <c r="Z35" s="1">
        <f t="shared" si="42"/>
        <v>54742.3</v>
      </c>
      <c r="AA35" s="1">
        <v>71257.75</v>
      </c>
      <c r="AB35" s="1">
        <f t="shared" si="13"/>
        <v>16515.449999999997</v>
      </c>
      <c r="AC35" s="1">
        <f t="shared" si="14"/>
        <v>71257.75</v>
      </c>
      <c r="AD35" s="41">
        <v>79450.070000000007</v>
      </c>
      <c r="AE35" s="1">
        <f t="shared" si="15"/>
        <v>8192.320000000007</v>
      </c>
      <c r="AF35" s="1">
        <f t="shared" si="16"/>
        <v>79450.070000000007</v>
      </c>
    </row>
    <row r="36" spans="1:32">
      <c r="A36" s="11">
        <v>13200</v>
      </c>
      <c r="B36" s="11">
        <v>12003</v>
      </c>
      <c r="C36" s="11" t="s">
        <v>76</v>
      </c>
      <c r="D36" s="7">
        <v>0</v>
      </c>
      <c r="E36" s="7">
        <v>1440109.62</v>
      </c>
      <c r="F36" s="7">
        <f t="shared" si="31"/>
        <v>-1440109.62</v>
      </c>
      <c r="G36" s="7">
        <v>1440109.62</v>
      </c>
      <c r="H36" s="7">
        <f t="shared" si="32"/>
        <v>1440109.62</v>
      </c>
      <c r="I36" s="1">
        <v>998368.84</v>
      </c>
      <c r="J36" s="1">
        <f t="shared" si="33"/>
        <v>441740.78000000014</v>
      </c>
      <c r="K36" s="1">
        <v>-441740.78</v>
      </c>
      <c r="L36" s="1">
        <f>H36+K36</f>
        <v>998368.84000000008</v>
      </c>
      <c r="M36" s="7">
        <f>988484-L36</f>
        <v>-9884.8400000000838</v>
      </c>
      <c r="N36" s="1">
        <f t="shared" si="34"/>
        <v>988484</v>
      </c>
      <c r="O36" s="1">
        <v>968714.32</v>
      </c>
      <c r="P36" s="1">
        <f t="shared" si="35"/>
        <v>-19769.680000000051</v>
      </c>
      <c r="Q36" s="1">
        <f t="shared" si="36"/>
        <v>968714.32</v>
      </c>
      <c r="R36" s="1">
        <v>958829.48</v>
      </c>
      <c r="S36" s="1">
        <f t="shared" si="37"/>
        <v>-9884.8399999999674</v>
      </c>
      <c r="T36" s="1">
        <f t="shared" si="38"/>
        <v>958829.48</v>
      </c>
      <c r="U36" s="1">
        <v>958829.48</v>
      </c>
      <c r="V36" s="1">
        <f t="shared" si="39"/>
        <v>0</v>
      </c>
      <c r="W36" s="1">
        <f t="shared" si="40"/>
        <v>958829.48</v>
      </c>
      <c r="X36" s="1">
        <v>1063560.01</v>
      </c>
      <c r="Y36" s="41">
        <f t="shared" si="41"/>
        <v>104730.53000000003</v>
      </c>
      <c r="Z36" s="1">
        <f t="shared" si="42"/>
        <v>1063560.01</v>
      </c>
      <c r="AA36" s="1">
        <v>1028530.99</v>
      </c>
      <c r="AB36" s="1">
        <f t="shared" si="13"/>
        <v>-35029.020000000019</v>
      </c>
      <c r="AC36" s="1">
        <f t="shared" si="14"/>
        <v>1028530.99</v>
      </c>
      <c r="AD36" s="41">
        <v>1033736.01</v>
      </c>
      <c r="AE36" s="1">
        <f t="shared" si="15"/>
        <v>5205.0200000000186</v>
      </c>
      <c r="AF36" s="1">
        <f t="shared" si="16"/>
        <v>1033736.01</v>
      </c>
    </row>
    <row r="37" spans="1:32">
      <c r="A37" s="11">
        <v>15100</v>
      </c>
      <c r="B37" s="11">
        <v>12003</v>
      </c>
      <c r="C37" s="11" t="s">
        <v>157</v>
      </c>
      <c r="D37" s="7">
        <v>0</v>
      </c>
      <c r="E37" s="7">
        <v>160688.35</v>
      </c>
      <c r="F37" s="7">
        <f t="shared" si="31"/>
        <v>-160688.35</v>
      </c>
      <c r="G37" s="7">
        <v>160688.35</v>
      </c>
      <c r="H37" s="7">
        <f t="shared" si="32"/>
        <v>160688.35</v>
      </c>
      <c r="I37" s="1">
        <v>138387.76</v>
      </c>
      <c r="J37" s="1">
        <f t="shared" si="33"/>
        <v>22300.589999999997</v>
      </c>
      <c r="K37" s="1">
        <v>-22300.59</v>
      </c>
      <c r="L37" s="1">
        <f>H37+K37</f>
        <v>138387.76</v>
      </c>
      <c r="M37" s="7">
        <f>118618.08-L37</f>
        <v>-19769.680000000008</v>
      </c>
      <c r="N37" s="1">
        <f t="shared" si="34"/>
        <v>118618.08</v>
      </c>
      <c r="O37" s="1">
        <v>108733.24</v>
      </c>
      <c r="P37" s="1">
        <f t="shared" si="35"/>
        <v>-9884.8399999999965</v>
      </c>
      <c r="Q37" s="1">
        <f t="shared" si="36"/>
        <v>108733.24</v>
      </c>
      <c r="R37" s="1">
        <v>98848.4</v>
      </c>
      <c r="S37" s="1">
        <f t="shared" si="37"/>
        <v>-9884.8400000000111</v>
      </c>
      <c r="T37" s="1">
        <f t="shared" si="38"/>
        <v>98848.4</v>
      </c>
      <c r="U37" s="1">
        <v>138387.76</v>
      </c>
      <c r="V37" s="1">
        <f t="shared" si="39"/>
        <v>39539.360000000015</v>
      </c>
      <c r="W37" s="1">
        <f t="shared" si="40"/>
        <v>138387.76</v>
      </c>
      <c r="X37" s="1">
        <v>148256.51</v>
      </c>
      <c r="Y37" s="41">
        <f t="shared" si="41"/>
        <v>9868.75</v>
      </c>
      <c r="Z37" s="1">
        <f t="shared" si="42"/>
        <v>148256.51</v>
      </c>
      <c r="AA37" s="1">
        <v>122274.22</v>
      </c>
      <c r="AB37" s="1">
        <f t="shared" si="13"/>
        <v>-25982.290000000008</v>
      </c>
      <c r="AC37" s="1">
        <f t="shared" si="14"/>
        <v>122274.22</v>
      </c>
      <c r="AD37" s="41">
        <v>112585.11</v>
      </c>
      <c r="AE37" s="1">
        <f t="shared" si="15"/>
        <v>-9689.11</v>
      </c>
      <c r="AF37" s="1">
        <f t="shared" si="16"/>
        <v>112585.11</v>
      </c>
    </row>
    <row r="38" spans="1:32">
      <c r="A38" s="13">
        <v>17000</v>
      </c>
      <c r="B38" s="11">
        <v>12003</v>
      </c>
      <c r="C38" s="11" t="s">
        <v>564</v>
      </c>
      <c r="D38" s="7">
        <v>0</v>
      </c>
      <c r="E38" s="10">
        <v>12562.53</v>
      </c>
      <c r="F38" s="7">
        <f t="shared" si="31"/>
        <v>-12562.53</v>
      </c>
      <c r="G38" s="10">
        <v>12562.53</v>
      </c>
      <c r="H38" s="7">
        <f t="shared" si="32"/>
        <v>12562.53</v>
      </c>
      <c r="I38" s="16">
        <v>9884.84</v>
      </c>
      <c r="J38" s="1">
        <f t="shared" si="33"/>
        <v>2677.6900000000005</v>
      </c>
      <c r="K38" s="16">
        <v>-2677.69</v>
      </c>
      <c r="L38" s="1">
        <f>H38+K38</f>
        <v>9884.84</v>
      </c>
      <c r="M38" s="10">
        <v>0</v>
      </c>
      <c r="N38" s="1">
        <f t="shared" si="34"/>
        <v>9884.84</v>
      </c>
      <c r="O38" s="1">
        <v>9884.84</v>
      </c>
      <c r="P38" s="1">
        <f t="shared" si="35"/>
        <v>0</v>
      </c>
      <c r="Q38" s="1">
        <f t="shared" si="36"/>
        <v>9884.84</v>
      </c>
      <c r="R38" s="41">
        <v>9884.84</v>
      </c>
      <c r="S38" s="1">
        <f t="shared" si="37"/>
        <v>0</v>
      </c>
      <c r="T38" s="1">
        <f t="shared" si="38"/>
        <v>9884.84</v>
      </c>
      <c r="U38" s="41">
        <v>9884.84</v>
      </c>
      <c r="V38" s="1">
        <f t="shared" si="39"/>
        <v>0</v>
      </c>
      <c r="W38" s="1">
        <f t="shared" si="40"/>
        <v>9884.84</v>
      </c>
      <c r="X38" s="41">
        <v>20909.330000000002</v>
      </c>
      <c r="Y38" s="41">
        <f t="shared" si="41"/>
        <v>11024.490000000002</v>
      </c>
      <c r="Z38" s="1">
        <f t="shared" si="42"/>
        <v>20909.330000000002</v>
      </c>
      <c r="AA38" s="41">
        <v>43082.5</v>
      </c>
      <c r="AB38" s="1">
        <f t="shared" si="13"/>
        <v>22173.17</v>
      </c>
      <c r="AC38" s="1">
        <f t="shared" si="14"/>
        <v>43082.5</v>
      </c>
      <c r="AD38" s="41">
        <v>40940.04</v>
      </c>
      <c r="AE38" s="1">
        <f t="shared" si="15"/>
        <v>-2142.4599999999991</v>
      </c>
      <c r="AF38" s="1">
        <f t="shared" si="16"/>
        <v>40940.04</v>
      </c>
    </row>
    <row r="39" spans="1:32">
      <c r="A39" s="13">
        <v>23110</v>
      </c>
      <c r="B39" s="11">
        <v>12003</v>
      </c>
      <c r="C39" s="11" t="s">
        <v>512</v>
      </c>
      <c r="D39" s="8"/>
      <c r="E39" s="8"/>
      <c r="F39" s="8"/>
      <c r="G39" s="8"/>
      <c r="H39" s="8"/>
      <c r="I39" s="8"/>
      <c r="J39" s="8"/>
      <c r="K39" s="8"/>
      <c r="L39" s="10">
        <v>9884.84</v>
      </c>
      <c r="M39" s="10">
        <f>0</f>
        <v>0</v>
      </c>
      <c r="N39" s="7">
        <f t="shared" si="34"/>
        <v>9884.84</v>
      </c>
      <c r="O39" s="7">
        <v>9884.84</v>
      </c>
      <c r="P39" s="1">
        <f t="shared" si="35"/>
        <v>0</v>
      </c>
      <c r="Q39" s="1">
        <f t="shared" si="36"/>
        <v>9884.84</v>
      </c>
      <c r="R39" s="41">
        <v>19769.68</v>
      </c>
      <c r="S39" s="1">
        <f t="shared" si="37"/>
        <v>9884.84</v>
      </c>
      <c r="T39" s="1">
        <f t="shared" si="38"/>
        <v>19769.68</v>
      </c>
      <c r="U39" s="41">
        <v>19769.68</v>
      </c>
      <c r="V39" s="1">
        <f t="shared" si="39"/>
        <v>0</v>
      </c>
      <c r="W39" s="1">
        <f t="shared" si="40"/>
        <v>19769.68</v>
      </c>
      <c r="X39" s="41">
        <v>11661.5</v>
      </c>
      <c r="Y39" s="41">
        <f t="shared" si="41"/>
        <v>-8108.18</v>
      </c>
      <c r="Z39" s="1">
        <f t="shared" si="42"/>
        <v>11661.5</v>
      </c>
      <c r="AA39" s="41">
        <v>10083.65</v>
      </c>
      <c r="AB39" s="41">
        <f t="shared" si="13"/>
        <v>-1577.8500000000004</v>
      </c>
      <c r="AC39" s="1">
        <f t="shared" si="14"/>
        <v>10083.65</v>
      </c>
      <c r="AD39" s="41">
        <v>20470.02</v>
      </c>
      <c r="AE39" s="1">
        <f t="shared" si="15"/>
        <v>10386.370000000001</v>
      </c>
      <c r="AF39" s="1">
        <f t="shared" si="16"/>
        <v>20470.02</v>
      </c>
    </row>
    <row r="40" spans="1:32">
      <c r="A40" s="13">
        <v>23111</v>
      </c>
      <c r="B40" s="11">
        <v>12003</v>
      </c>
      <c r="C40" s="11" t="s">
        <v>134</v>
      </c>
      <c r="D40" s="7">
        <v>0</v>
      </c>
      <c r="E40" s="7">
        <v>12455.71</v>
      </c>
      <c r="F40" s="7">
        <f>D40-E40</f>
        <v>-12455.71</v>
      </c>
      <c r="G40" s="7">
        <v>12455.71</v>
      </c>
      <c r="H40" s="7">
        <f>D40+G40</f>
        <v>12455.71</v>
      </c>
      <c r="I40" s="10">
        <v>9884.84</v>
      </c>
      <c r="J40" s="10">
        <f>H40-I40</f>
        <v>2570.869999999999</v>
      </c>
      <c r="K40" s="10">
        <v>-2570.87</v>
      </c>
      <c r="L40" s="7">
        <v>9884.84</v>
      </c>
      <c r="M40" s="10">
        <v>0</v>
      </c>
      <c r="N40" s="7">
        <f t="shared" si="34"/>
        <v>9884.84</v>
      </c>
      <c r="O40" s="7">
        <v>9884.84</v>
      </c>
      <c r="P40" s="1">
        <f t="shared" si="35"/>
        <v>0</v>
      </c>
      <c r="Q40" s="1">
        <f t="shared" si="36"/>
        <v>9884.84</v>
      </c>
      <c r="R40" s="41">
        <v>22637.200000000001</v>
      </c>
      <c r="S40" s="1">
        <f t="shared" si="37"/>
        <v>12752.36</v>
      </c>
      <c r="T40" s="1">
        <f t="shared" si="38"/>
        <v>22637.200000000001</v>
      </c>
      <c r="U40" s="41">
        <v>22637.200000000001</v>
      </c>
      <c r="V40" s="1">
        <f t="shared" si="39"/>
        <v>0</v>
      </c>
      <c r="W40" s="1">
        <f t="shared" si="40"/>
        <v>22637.200000000001</v>
      </c>
      <c r="X40" s="41">
        <v>23869.98</v>
      </c>
      <c r="Y40" s="41">
        <f t="shared" si="41"/>
        <v>1232.7799999999988</v>
      </c>
      <c r="Z40" s="1">
        <f t="shared" si="42"/>
        <v>23869.98</v>
      </c>
      <c r="AA40" s="41">
        <v>20167.310000000001</v>
      </c>
      <c r="AB40" s="41">
        <f t="shared" si="13"/>
        <v>-3702.6699999999983</v>
      </c>
      <c r="AC40" s="1">
        <f t="shared" si="14"/>
        <v>20167.310000000001</v>
      </c>
      <c r="AD40" s="41">
        <v>23598.51</v>
      </c>
      <c r="AE40" s="1">
        <f t="shared" si="15"/>
        <v>3431.1999999999971</v>
      </c>
      <c r="AF40" s="1">
        <f t="shared" si="16"/>
        <v>23598.51</v>
      </c>
    </row>
    <row r="41" spans="1:32">
      <c r="A41" s="42">
        <v>23113</v>
      </c>
      <c r="B41" s="11">
        <v>12003</v>
      </c>
      <c r="C41" s="42" t="s">
        <v>774</v>
      </c>
      <c r="D41" s="7"/>
      <c r="E41" s="7"/>
      <c r="F41" s="7"/>
      <c r="G41" s="7"/>
      <c r="H41" s="7"/>
      <c r="I41" s="7"/>
      <c r="J41" s="7"/>
      <c r="K41" s="7"/>
      <c r="L41" s="7"/>
      <c r="N41" s="7"/>
      <c r="O41" s="7"/>
      <c r="R41" s="41"/>
      <c r="T41" s="1">
        <v>0</v>
      </c>
      <c r="U41" s="41">
        <v>9884.84</v>
      </c>
      <c r="V41" s="1">
        <f t="shared" si="39"/>
        <v>9884.84</v>
      </c>
      <c r="W41" s="1">
        <f t="shared" si="40"/>
        <v>9884.84</v>
      </c>
      <c r="X41" s="41">
        <v>9983.69</v>
      </c>
      <c r="Y41" s="41">
        <f t="shared" si="41"/>
        <v>98.850000000000364</v>
      </c>
      <c r="Z41" s="1">
        <f t="shared" si="42"/>
        <v>9983.69</v>
      </c>
      <c r="AA41" s="41">
        <v>20167.189999999999</v>
      </c>
      <c r="AB41" s="41">
        <f t="shared" si="13"/>
        <v>10183.499999999998</v>
      </c>
      <c r="AC41" s="1">
        <f t="shared" si="14"/>
        <v>20167.189999999999</v>
      </c>
      <c r="AD41" s="41">
        <v>20470.02</v>
      </c>
      <c r="AE41" s="1">
        <f t="shared" si="15"/>
        <v>302.83000000000175</v>
      </c>
      <c r="AF41" s="1">
        <f t="shared" si="16"/>
        <v>20470.02</v>
      </c>
    </row>
    <row r="42" spans="1:32">
      <c r="A42" s="42">
        <v>32000</v>
      </c>
      <c r="B42" s="42">
        <v>12003</v>
      </c>
      <c r="C42" s="42" t="s">
        <v>944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3"/>
      <c r="S42" s="8"/>
      <c r="T42" s="8"/>
      <c r="U42" s="8"/>
      <c r="V42" s="8"/>
      <c r="W42" s="8"/>
      <c r="X42" s="47"/>
      <c r="Y42" s="8"/>
      <c r="Z42" s="8"/>
      <c r="AA42" s="8"/>
      <c r="AB42" s="8"/>
      <c r="AC42" s="47">
        <v>0</v>
      </c>
      <c r="AD42" s="47">
        <v>1560</v>
      </c>
      <c r="AE42" s="1">
        <f t="shared" si="15"/>
        <v>1560</v>
      </c>
      <c r="AF42" s="1">
        <f t="shared" si="16"/>
        <v>1560</v>
      </c>
    </row>
    <row r="43" spans="1:32">
      <c r="A43" s="11">
        <v>33220</v>
      </c>
      <c r="B43" s="11">
        <v>12003</v>
      </c>
      <c r="C43" s="11" t="s">
        <v>599</v>
      </c>
      <c r="D43" s="7"/>
      <c r="E43" s="7"/>
      <c r="F43" s="7"/>
      <c r="G43" s="7"/>
      <c r="H43" s="7">
        <v>0</v>
      </c>
      <c r="I43" s="1">
        <v>9884.84</v>
      </c>
      <c r="J43" s="1">
        <f>H43-I43</f>
        <v>-9884.84</v>
      </c>
      <c r="K43" s="1">
        <v>9884.84</v>
      </c>
      <c r="L43" s="1">
        <f>H43+K43</f>
        <v>9884.84</v>
      </c>
      <c r="M43" s="7">
        <v>0</v>
      </c>
      <c r="N43" s="1">
        <f>L43+M43</f>
        <v>9884.84</v>
      </c>
      <c r="O43" s="1">
        <v>9884.84</v>
      </c>
      <c r="P43" s="1">
        <f>O43-N43</f>
        <v>0</v>
      </c>
      <c r="Q43" s="1">
        <f>N43+P43</f>
        <v>9884.84</v>
      </c>
      <c r="R43" s="1">
        <v>9884.84</v>
      </c>
      <c r="S43" s="1">
        <f>R43-Q43</f>
        <v>0</v>
      </c>
      <c r="T43" s="1">
        <f>Q43+S43</f>
        <v>9884.84</v>
      </c>
      <c r="U43" s="1">
        <v>9884.84</v>
      </c>
      <c r="V43" s="1">
        <f>U43-T43</f>
        <v>0</v>
      </c>
      <c r="W43" s="1">
        <f>T43+V43</f>
        <v>9884.84</v>
      </c>
      <c r="X43" s="1">
        <f>902.91+9983.69</f>
        <v>10886.6</v>
      </c>
      <c r="Y43" s="41">
        <f>X43-W43</f>
        <v>1001.7600000000002</v>
      </c>
      <c r="Z43" s="1">
        <f>W43+Y43</f>
        <v>10886.6</v>
      </c>
      <c r="AA43" s="1">
        <v>10083.65</v>
      </c>
      <c r="AB43" s="41">
        <f t="shared" ref="AB43:AB52" si="43">AA43-Z43</f>
        <v>-802.95000000000073</v>
      </c>
      <c r="AC43" s="1">
        <f t="shared" ref="AC43:AC52" si="44">Z43+AB43</f>
        <v>10083.65</v>
      </c>
      <c r="AD43" s="41">
        <v>10235.01</v>
      </c>
      <c r="AE43" s="1">
        <f t="shared" si="15"/>
        <v>151.36000000000058</v>
      </c>
      <c r="AF43" s="1">
        <f t="shared" si="16"/>
        <v>10235.01</v>
      </c>
    </row>
    <row r="44" spans="1:32">
      <c r="A44" s="11">
        <v>33400</v>
      </c>
      <c r="B44" s="11">
        <v>12003</v>
      </c>
      <c r="C44" s="11" t="s">
        <v>159</v>
      </c>
      <c r="D44" s="7">
        <v>0</v>
      </c>
      <c r="E44" s="7">
        <v>12436.93</v>
      </c>
      <c r="F44" s="7">
        <f>D44-E44</f>
        <v>-12436.93</v>
      </c>
      <c r="G44" s="7">
        <v>12436.93</v>
      </c>
      <c r="H44" s="7">
        <f>D44+G44</f>
        <v>12436.93</v>
      </c>
      <c r="I44" s="16">
        <v>9884.84</v>
      </c>
      <c r="J44" s="1">
        <f>H44-I44</f>
        <v>2552.09</v>
      </c>
      <c r="K44" s="16">
        <v>-2552.09</v>
      </c>
      <c r="L44" s="1">
        <f>H44+K44</f>
        <v>9884.84</v>
      </c>
      <c r="M44" s="7">
        <v>0</v>
      </c>
      <c r="N44" s="1">
        <f>L44+M44</f>
        <v>9884.84</v>
      </c>
      <c r="O44" s="1">
        <v>9884.84</v>
      </c>
      <c r="P44" s="1">
        <f>O44-N44</f>
        <v>0</v>
      </c>
      <c r="Q44" s="1">
        <f>N44+P44</f>
        <v>9884.84</v>
      </c>
      <c r="R44" s="1">
        <v>9884.84</v>
      </c>
      <c r="S44" s="1">
        <f>R44-Q44</f>
        <v>0</v>
      </c>
      <c r="T44" s="1">
        <f>Q44+S44</f>
        <v>9884.84</v>
      </c>
      <c r="U44" s="1">
        <v>9884.84</v>
      </c>
      <c r="V44" s="1">
        <f>U44-T44</f>
        <v>0</v>
      </c>
      <c r="W44" s="1">
        <f>T44+V44</f>
        <v>9884.84</v>
      </c>
      <c r="X44" s="1">
        <v>10827.93</v>
      </c>
      <c r="Y44" s="41">
        <f>X44-W44</f>
        <v>943.09000000000015</v>
      </c>
      <c r="Z44" s="1">
        <f>W44+Y44</f>
        <v>10827.93</v>
      </c>
      <c r="AA44" s="1">
        <v>10083.65</v>
      </c>
      <c r="AB44" s="1">
        <f t="shared" si="43"/>
        <v>-744.28000000000065</v>
      </c>
      <c r="AC44" s="1">
        <f t="shared" si="44"/>
        <v>10083.65</v>
      </c>
      <c r="AD44" s="41">
        <v>10235.01</v>
      </c>
      <c r="AE44" s="1">
        <f t="shared" si="15"/>
        <v>151.36000000000058</v>
      </c>
      <c r="AF44" s="1">
        <f t="shared" si="16"/>
        <v>10235.01</v>
      </c>
    </row>
    <row r="45" spans="1:32">
      <c r="A45" s="13">
        <v>33700</v>
      </c>
      <c r="B45" s="13">
        <v>12003</v>
      </c>
      <c r="C45" s="11" t="s">
        <v>663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0</v>
      </c>
      <c r="O45" s="10">
        <v>9884.84</v>
      </c>
      <c r="P45" s="1">
        <f>O45-N45</f>
        <v>9884.84</v>
      </c>
      <c r="Q45" s="1">
        <f>N45+P45</f>
        <v>9884.84</v>
      </c>
      <c r="R45" s="1">
        <v>9884.84</v>
      </c>
      <c r="S45" s="1">
        <f>R45-Q45</f>
        <v>0</v>
      </c>
      <c r="T45" s="1">
        <f>Q45+S45</f>
        <v>9884.84</v>
      </c>
      <c r="U45" s="1">
        <v>9884.84</v>
      </c>
      <c r="V45" s="1">
        <f>U45-T45</f>
        <v>0</v>
      </c>
      <c r="W45" s="1">
        <f>T45+V45</f>
        <v>9884.84</v>
      </c>
      <c r="X45" s="1">
        <v>10457.77</v>
      </c>
      <c r="Y45" s="41">
        <f>X45-W45</f>
        <v>572.93000000000029</v>
      </c>
      <c r="Z45" s="1">
        <f>W45+Y45</f>
        <v>10457.77</v>
      </c>
      <c r="AA45" s="1">
        <v>10083.65</v>
      </c>
      <c r="AB45" s="1">
        <f t="shared" si="43"/>
        <v>-374.1200000000008</v>
      </c>
      <c r="AC45" s="1">
        <f t="shared" si="44"/>
        <v>10083.65</v>
      </c>
      <c r="AD45" s="41">
        <v>20470.02</v>
      </c>
      <c r="AE45" s="1">
        <f t="shared" si="15"/>
        <v>10386.370000000001</v>
      </c>
      <c r="AF45" s="1">
        <f t="shared" si="16"/>
        <v>20470.02</v>
      </c>
    </row>
    <row r="46" spans="1:32">
      <c r="A46" s="11">
        <v>34000</v>
      </c>
      <c r="B46" s="11">
        <v>12003</v>
      </c>
      <c r="C46" s="11" t="s">
        <v>146</v>
      </c>
      <c r="D46" s="7">
        <v>0</v>
      </c>
      <c r="E46" s="7">
        <v>37955.18</v>
      </c>
      <c r="F46" s="7">
        <f>D46-E46</f>
        <v>-37955.18</v>
      </c>
      <c r="G46" s="7">
        <v>37955.18</v>
      </c>
      <c r="H46" s="7">
        <f>D46+G46</f>
        <v>37955.18</v>
      </c>
      <c r="I46" s="16">
        <v>26249.86</v>
      </c>
      <c r="J46" s="16">
        <f>H46-I46</f>
        <v>11705.32</v>
      </c>
      <c r="K46" s="16">
        <v>-11705.32</v>
      </c>
      <c r="L46" s="1">
        <f>H46+K46</f>
        <v>26249.86</v>
      </c>
      <c r="M46" s="7">
        <f>19769.68-L46</f>
        <v>-6480.18</v>
      </c>
      <c r="N46" s="1">
        <f>L46+M46</f>
        <v>19769.68</v>
      </c>
      <c r="O46" s="1">
        <v>19769.68</v>
      </c>
      <c r="P46" s="1">
        <f>O46-N46</f>
        <v>0</v>
      </c>
      <c r="Q46" s="1">
        <f>N46+P46</f>
        <v>19769.68</v>
      </c>
      <c r="R46" s="1">
        <v>29654.52</v>
      </c>
      <c r="S46" s="1">
        <f>R46-Q46</f>
        <v>9884.84</v>
      </c>
      <c r="T46" s="1">
        <f>Q46+S46</f>
        <v>29654.52</v>
      </c>
      <c r="U46" s="1">
        <v>29654.52</v>
      </c>
      <c r="V46" s="1">
        <f>U46-T46</f>
        <v>0</v>
      </c>
      <c r="W46" s="1">
        <f>T46+V46</f>
        <v>29654.52</v>
      </c>
      <c r="X46" s="1">
        <v>31699.96</v>
      </c>
      <c r="Y46" s="41">
        <f>X46-W46</f>
        <v>2045.4399999999987</v>
      </c>
      <c r="Z46" s="1">
        <f>W46+Y46</f>
        <v>31699.96</v>
      </c>
      <c r="AA46" s="1">
        <v>20167.189999999999</v>
      </c>
      <c r="AB46" s="1">
        <f t="shared" si="43"/>
        <v>-11532.77</v>
      </c>
      <c r="AC46" s="1">
        <f t="shared" si="44"/>
        <v>20167.189999999999</v>
      </c>
      <c r="AD46" s="41">
        <v>10235.01</v>
      </c>
      <c r="AE46" s="1">
        <f t="shared" si="15"/>
        <v>-9932.1799999999985</v>
      </c>
      <c r="AF46" s="1">
        <f t="shared" si="16"/>
        <v>10235.01</v>
      </c>
    </row>
    <row r="47" spans="1:32">
      <c r="A47" s="13">
        <v>43200</v>
      </c>
      <c r="B47" s="11">
        <v>12003</v>
      </c>
      <c r="C47" s="11" t="s">
        <v>180</v>
      </c>
      <c r="D47" s="7">
        <v>0</v>
      </c>
      <c r="E47" s="7">
        <v>12329.98</v>
      </c>
      <c r="F47" s="7">
        <f>D47-E47</f>
        <v>-12329.98</v>
      </c>
      <c r="G47" s="7">
        <v>12329.98</v>
      </c>
      <c r="H47" s="7">
        <f>D47+G47</f>
        <v>12329.98</v>
      </c>
      <c r="I47" s="16">
        <v>9884.84</v>
      </c>
      <c r="J47" s="16">
        <f>H47-I47</f>
        <v>2445.1399999999994</v>
      </c>
      <c r="K47" s="16">
        <v>-2445.14</v>
      </c>
      <c r="L47" s="1">
        <f>H47+K47</f>
        <v>9884.84</v>
      </c>
      <c r="M47" s="7">
        <v>0</v>
      </c>
      <c r="N47" s="1">
        <f>L47+M47</f>
        <v>9884.84</v>
      </c>
      <c r="O47" s="1">
        <v>9884.84</v>
      </c>
      <c r="P47" s="1">
        <f>O47-N47</f>
        <v>0</v>
      </c>
      <c r="Q47" s="1">
        <f>N47+P47</f>
        <v>9884.84</v>
      </c>
      <c r="R47" s="1">
        <v>9884.84</v>
      </c>
      <c r="S47" s="1">
        <f>R47-Q47</f>
        <v>0</v>
      </c>
      <c r="T47" s="1">
        <f>Q47+S47</f>
        <v>9884.84</v>
      </c>
      <c r="U47" s="1">
        <v>9884.84</v>
      </c>
      <c r="V47" s="1">
        <f>U47-T47</f>
        <v>0</v>
      </c>
      <c r="W47" s="1">
        <f>T47+V47</f>
        <v>9884.84</v>
      </c>
      <c r="X47" s="1">
        <v>10809.47</v>
      </c>
      <c r="Y47" s="41">
        <f>X47-W47</f>
        <v>924.6299999999992</v>
      </c>
      <c r="Z47" s="1">
        <f>W47+Y47</f>
        <v>10809.47</v>
      </c>
      <c r="AA47" s="1">
        <v>10083.65</v>
      </c>
      <c r="AB47" s="41">
        <f t="shared" si="43"/>
        <v>-725.81999999999971</v>
      </c>
      <c r="AC47" s="1">
        <f t="shared" si="44"/>
        <v>10083.65</v>
      </c>
      <c r="AD47" s="41">
        <v>20469.8</v>
      </c>
      <c r="AE47" s="1">
        <f t="shared" si="15"/>
        <v>10386.15</v>
      </c>
      <c r="AF47" s="1">
        <f t="shared" si="16"/>
        <v>20469.8</v>
      </c>
    </row>
    <row r="48" spans="1:32">
      <c r="A48" s="42">
        <v>45900</v>
      </c>
      <c r="B48" s="42">
        <v>12003</v>
      </c>
      <c r="C48" s="42" t="s">
        <v>862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1"/>
      <c r="S48" s="47"/>
      <c r="T48" s="47"/>
      <c r="U48" s="47"/>
      <c r="V48" s="47"/>
      <c r="W48" s="47"/>
      <c r="X48" s="47"/>
      <c r="Y48" s="47"/>
      <c r="Z48" s="47">
        <v>928.72</v>
      </c>
      <c r="AA48" s="47">
        <v>0</v>
      </c>
      <c r="AB48" s="41">
        <f t="shared" si="43"/>
        <v>-928.72</v>
      </c>
      <c r="AC48" s="1">
        <f t="shared" si="44"/>
        <v>0</v>
      </c>
      <c r="AD48" s="41">
        <v>0</v>
      </c>
      <c r="AE48" s="1">
        <f t="shared" si="15"/>
        <v>0</v>
      </c>
      <c r="AF48" s="1">
        <f t="shared" si="16"/>
        <v>0</v>
      </c>
    </row>
    <row r="49" spans="1:32">
      <c r="A49" s="11">
        <v>49300</v>
      </c>
      <c r="B49" s="11">
        <v>12003</v>
      </c>
      <c r="C49" s="42" t="s">
        <v>804</v>
      </c>
      <c r="D49" s="7"/>
      <c r="E49" s="7"/>
      <c r="F49" s="7"/>
      <c r="G49" s="7"/>
      <c r="H49" s="7"/>
      <c r="I49" s="1"/>
      <c r="J49" s="1"/>
      <c r="K49" s="1"/>
      <c r="L49" s="1"/>
      <c r="N49" s="1"/>
      <c r="O49" s="1"/>
      <c r="T49" s="1"/>
      <c r="V49" s="1"/>
      <c r="W49" s="1">
        <v>0</v>
      </c>
      <c r="X49" s="1">
        <v>9983.69</v>
      </c>
      <c r="Y49" s="41">
        <f>X49-W49</f>
        <v>9983.69</v>
      </c>
      <c r="Z49" s="1">
        <f>W49+Y49</f>
        <v>9983.69</v>
      </c>
      <c r="AA49" s="1">
        <v>10083.66</v>
      </c>
      <c r="AB49" s="1">
        <f t="shared" si="43"/>
        <v>99.969999999999345</v>
      </c>
      <c r="AC49" s="1">
        <f t="shared" si="44"/>
        <v>10083.66</v>
      </c>
      <c r="AD49" s="41">
        <v>10235.01</v>
      </c>
      <c r="AE49" s="1">
        <f t="shared" si="15"/>
        <v>151.35000000000036</v>
      </c>
      <c r="AF49" s="1">
        <f t="shared" si="16"/>
        <v>10235.01</v>
      </c>
    </row>
    <row r="50" spans="1:32">
      <c r="A50" s="11">
        <v>91210</v>
      </c>
      <c r="B50" s="11">
        <v>12003</v>
      </c>
      <c r="C50" s="11" t="s">
        <v>599</v>
      </c>
      <c r="D50" s="7"/>
      <c r="E50" s="7"/>
      <c r="F50" s="7"/>
      <c r="G50" s="7"/>
      <c r="H50" s="7">
        <v>0</v>
      </c>
      <c r="I50" s="7">
        <v>9884.84</v>
      </c>
      <c r="J50" s="7">
        <f>H50-I50</f>
        <v>-9884.84</v>
      </c>
      <c r="K50" s="7">
        <v>9884.84</v>
      </c>
      <c r="L50" s="7">
        <v>9884.84</v>
      </c>
      <c r="M50" s="7">
        <v>0</v>
      </c>
      <c r="N50" s="7">
        <f>L50+M50</f>
        <v>9884.84</v>
      </c>
      <c r="O50" s="7">
        <v>9884.84</v>
      </c>
      <c r="P50" s="1">
        <f>O50-N50</f>
        <v>0</v>
      </c>
      <c r="Q50" s="1">
        <f>N50+P50</f>
        <v>9884.84</v>
      </c>
      <c r="R50" s="1">
        <v>9884.84</v>
      </c>
      <c r="S50" s="1">
        <f>R50-Q50</f>
        <v>0</v>
      </c>
      <c r="T50" s="1">
        <f>Q50+S50</f>
        <v>9884.84</v>
      </c>
      <c r="U50" s="1">
        <v>9884.84</v>
      </c>
      <c r="V50" s="1">
        <f>U50-T50</f>
        <v>0</v>
      </c>
      <c r="W50" s="1">
        <f>T50+V50</f>
        <v>9884.84</v>
      </c>
      <c r="X50" s="1">
        <v>10805.52</v>
      </c>
      <c r="Y50" s="41">
        <f>X50-W50</f>
        <v>920.68000000000029</v>
      </c>
      <c r="Z50" s="1">
        <f>W50+Y50</f>
        <v>10805.52</v>
      </c>
      <c r="AA50" s="1">
        <v>10083.65</v>
      </c>
      <c r="AB50" s="1">
        <f t="shared" si="43"/>
        <v>-721.8700000000008</v>
      </c>
      <c r="AC50" s="1">
        <f t="shared" si="44"/>
        <v>10083.65</v>
      </c>
      <c r="AD50" s="41">
        <v>10235.01</v>
      </c>
      <c r="AE50" s="1">
        <f t="shared" si="15"/>
        <v>151.36000000000058</v>
      </c>
      <c r="AF50" s="1">
        <f t="shared" si="16"/>
        <v>10235.01</v>
      </c>
    </row>
    <row r="51" spans="1:32">
      <c r="A51" s="11">
        <v>92000</v>
      </c>
      <c r="B51" s="11">
        <v>12003</v>
      </c>
      <c r="C51" s="11" t="s">
        <v>193</v>
      </c>
      <c r="D51" s="7">
        <v>0</v>
      </c>
      <c r="E51" s="7">
        <v>76417.67</v>
      </c>
      <c r="F51" s="7">
        <f>D51-E51</f>
        <v>-76417.67</v>
      </c>
      <c r="G51" s="7">
        <v>76417.67</v>
      </c>
      <c r="H51" s="7">
        <f>D51+G51</f>
        <v>76417.67</v>
      </c>
      <c r="I51" s="1">
        <v>59309.04</v>
      </c>
      <c r="J51" s="1">
        <f>H51-I51</f>
        <v>17108.629999999997</v>
      </c>
      <c r="K51" s="1">
        <v>-17108.63</v>
      </c>
      <c r="L51" s="1">
        <f>H51+K51</f>
        <v>59309.039999999994</v>
      </c>
      <c r="M51" s="7">
        <v>0</v>
      </c>
      <c r="N51" s="1">
        <f>L51+M51</f>
        <v>59309.039999999994</v>
      </c>
      <c r="O51" s="1">
        <v>69193.88</v>
      </c>
      <c r="P51" s="1">
        <f>O51-N51</f>
        <v>9884.8400000000111</v>
      </c>
      <c r="Q51" s="1">
        <f>N51+P51</f>
        <v>69193.88</v>
      </c>
      <c r="R51" s="1">
        <v>69193.88</v>
      </c>
      <c r="S51" s="1">
        <f>R51-Q51</f>
        <v>0</v>
      </c>
      <c r="T51" s="1">
        <f>Q51+S51</f>
        <v>69193.88</v>
      </c>
      <c r="U51" s="1">
        <v>59309.04</v>
      </c>
      <c r="V51" s="1">
        <f>U51-T51</f>
        <v>-9884.8400000000038</v>
      </c>
      <c r="W51" s="1">
        <f>T51+V51</f>
        <v>59309.04</v>
      </c>
      <c r="X51" s="1">
        <v>76514</v>
      </c>
      <c r="Y51" s="41">
        <f>X51-W51</f>
        <v>17204.96</v>
      </c>
      <c r="Z51" s="1">
        <f>W51+Y51</f>
        <v>76514</v>
      </c>
      <c r="AA51" s="1">
        <v>61771.55</v>
      </c>
      <c r="AB51" s="1">
        <f t="shared" si="43"/>
        <v>-14742.449999999997</v>
      </c>
      <c r="AC51" s="1">
        <f t="shared" si="44"/>
        <v>61771.55</v>
      </c>
      <c r="AD51" s="41">
        <v>73205.070000000007</v>
      </c>
      <c r="AE51" s="1">
        <f t="shared" si="15"/>
        <v>11433.520000000004</v>
      </c>
      <c r="AF51" s="1">
        <f t="shared" si="16"/>
        <v>73205.070000000007</v>
      </c>
    </row>
    <row r="52" spans="1:32">
      <c r="A52" s="11">
        <v>92010</v>
      </c>
      <c r="B52" s="11">
        <v>12003</v>
      </c>
      <c r="C52" s="11" t="s">
        <v>599</v>
      </c>
      <c r="D52" s="7"/>
      <c r="E52" s="7"/>
      <c r="F52" s="7"/>
      <c r="G52" s="7"/>
      <c r="H52" s="7"/>
      <c r="I52" s="8"/>
      <c r="J52" s="7"/>
      <c r="K52" s="8"/>
      <c r="L52" s="7">
        <v>9884.84</v>
      </c>
      <c r="M52" s="7">
        <v>0</v>
      </c>
      <c r="N52" s="7">
        <f>L52+M52</f>
        <v>9884.84</v>
      </c>
      <c r="O52" s="7">
        <v>9884.84</v>
      </c>
      <c r="P52" s="1">
        <f>O52-N52</f>
        <v>0</v>
      </c>
      <c r="Q52" s="1">
        <f>N52+P52</f>
        <v>9884.84</v>
      </c>
      <c r="R52" s="1">
        <v>9884.84</v>
      </c>
      <c r="S52" s="1">
        <f>R52-Q52</f>
        <v>0</v>
      </c>
      <c r="T52" s="1">
        <f>Q52+S52</f>
        <v>9884.84</v>
      </c>
      <c r="U52" s="1">
        <v>9884.84</v>
      </c>
      <c r="V52" s="1">
        <f>U52-T52</f>
        <v>0</v>
      </c>
      <c r="W52" s="1">
        <f>T52+V52</f>
        <v>9884.84</v>
      </c>
      <c r="X52" s="1">
        <v>10832.21</v>
      </c>
      <c r="Y52" s="41">
        <f>X52-W52</f>
        <v>947.36999999999898</v>
      </c>
      <c r="Z52" s="1">
        <f>W52+Y52</f>
        <v>10832.21</v>
      </c>
      <c r="AA52" s="1">
        <v>20167.189999999999</v>
      </c>
      <c r="AB52" s="1">
        <f t="shared" si="43"/>
        <v>9334.98</v>
      </c>
      <c r="AC52" s="1">
        <f t="shared" si="44"/>
        <v>20167.189999999999</v>
      </c>
      <c r="AD52" s="41">
        <v>20470.02</v>
      </c>
      <c r="AE52" s="1">
        <f t="shared" si="15"/>
        <v>302.83000000000175</v>
      </c>
      <c r="AF52" s="1">
        <f t="shared" si="16"/>
        <v>20470.02</v>
      </c>
    </row>
    <row r="53" spans="1:32">
      <c r="A53" s="11">
        <v>92020</v>
      </c>
      <c r="B53" s="11">
        <v>12003</v>
      </c>
      <c r="C53" s="39" t="s">
        <v>945</v>
      </c>
      <c r="D53" s="7"/>
      <c r="E53" s="7"/>
      <c r="F53" s="7"/>
      <c r="G53" s="7"/>
      <c r="H53" s="7"/>
      <c r="I53" s="7"/>
      <c r="J53" s="7"/>
      <c r="K53" s="7"/>
      <c r="L53" s="7"/>
      <c r="N53" s="7"/>
      <c r="O53" s="7"/>
      <c r="T53" s="1"/>
      <c r="V53" s="1"/>
      <c r="W53" s="1"/>
      <c r="Y53" s="41"/>
      <c r="Z53" s="1"/>
      <c r="AB53" s="1"/>
      <c r="AC53" s="1">
        <v>0</v>
      </c>
      <c r="AD53" s="41">
        <v>10235.01</v>
      </c>
      <c r="AE53" s="1">
        <f t="shared" si="15"/>
        <v>10235.01</v>
      </c>
      <c r="AF53" s="1">
        <f t="shared" si="16"/>
        <v>10235.01</v>
      </c>
    </row>
    <row r="54" spans="1:32">
      <c r="A54" s="11">
        <v>92600</v>
      </c>
      <c r="B54" s="11">
        <v>12003</v>
      </c>
      <c r="C54" s="11" t="s">
        <v>200</v>
      </c>
      <c r="D54" s="7">
        <v>0</v>
      </c>
      <c r="E54" s="7">
        <v>24481.42</v>
      </c>
      <c r="F54" s="7">
        <f>D54-E54</f>
        <v>-24481.42</v>
      </c>
      <c r="G54" s="7">
        <v>24481.42</v>
      </c>
      <c r="H54" s="7">
        <f>D54+G54</f>
        <v>24481.42</v>
      </c>
      <c r="I54" s="7">
        <v>19769.68</v>
      </c>
      <c r="J54" s="7">
        <f>H54-I54</f>
        <v>4711.739999999998</v>
      </c>
      <c r="K54" s="7">
        <v>-4711.74</v>
      </c>
      <c r="L54" s="7">
        <v>19769.68</v>
      </c>
      <c r="M54" s="7">
        <v>0</v>
      </c>
      <c r="N54" s="7">
        <f>L54+M54</f>
        <v>19769.68</v>
      </c>
      <c r="O54" s="7">
        <v>19769.68</v>
      </c>
      <c r="P54" s="1">
        <f>O54-N54</f>
        <v>0</v>
      </c>
      <c r="Q54" s="1">
        <f>N54+P54</f>
        <v>19769.68</v>
      </c>
      <c r="R54" s="1">
        <v>19769.68</v>
      </c>
      <c r="S54" s="1">
        <f t="shared" ref="S54:S73" si="45">R54-Q54</f>
        <v>0</v>
      </c>
      <c r="T54" s="1">
        <f t="shared" ref="T54:T73" si="46">Q54+S54</f>
        <v>19769.68</v>
      </c>
      <c r="U54" s="1">
        <v>19769.68</v>
      </c>
      <c r="V54" s="1">
        <f t="shared" ref="V54:V73" si="47">U54-T54</f>
        <v>0</v>
      </c>
      <c r="W54" s="1">
        <f t="shared" ref="W54:W73" si="48">T54+V54</f>
        <v>19769.68</v>
      </c>
      <c r="X54" s="1">
        <v>21581.37</v>
      </c>
      <c r="Y54" s="41">
        <f t="shared" ref="Y54:Y73" si="49">X54-W54</f>
        <v>1811.6899999999987</v>
      </c>
      <c r="Z54" s="1">
        <f t="shared" ref="Z54:Z73" si="50">W54+Y54</f>
        <v>21581.37</v>
      </c>
      <c r="AA54" s="1">
        <v>20167.3</v>
      </c>
      <c r="AB54" s="1">
        <f t="shared" ref="AB54:AB86" si="51">AA54-Z54</f>
        <v>-1414.0699999999997</v>
      </c>
      <c r="AC54" s="1">
        <f t="shared" ref="AC54:AC86" si="52">Z54+AB54</f>
        <v>20167.3</v>
      </c>
      <c r="AD54" s="41">
        <v>20470.02</v>
      </c>
      <c r="AE54" s="1">
        <f t="shared" si="15"/>
        <v>302.72000000000116</v>
      </c>
      <c r="AF54" s="1">
        <f t="shared" si="16"/>
        <v>20470.02</v>
      </c>
    </row>
    <row r="55" spans="1:32">
      <c r="A55" s="11">
        <v>93100</v>
      </c>
      <c r="B55" s="11">
        <v>12003</v>
      </c>
      <c r="C55" s="11" t="s">
        <v>218</v>
      </c>
      <c r="D55" s="7">
        <v>0</v>
      </c>
      <c r="E55" s="7">
        <v>113184.12</v>
      </c>
      <c r="F55" s="7">
        <f>D55-E55</f>
        <v>-113184.12</v>
      </c>
      <c r="G55" s="7">
        <v>113184.12</v>
      </c>
      <c r="H55" s="7">
        <f>D55+G55</f>
        <v>113184.12</v>
      </c>
      <c r="I55" s="1">
        <v>88963.56</v>
      </c>
      <c r="J55" s="1">
        <f>H55-I55</f>
        <v>24220.559999999998</v>
      </c>
      <c r="K55" s="1">
        <v>-24220.560000000001</v>
      </c>
      <c r="L55" s="1">
        <f>H55+K55</f>
        <v>88963.56</v>
      </c>
      <c r="N55" s="1">
        <f>L55+M55</f>
        <v>88963.56</v>
      </c>
      <c r="O55" s="1">
        <v>88963.56</v>
      </c>
      <c r="P55" s="1">
        <f>O55-N55</f>
        <v>0</v>
      </c>
      <c r="Q55" s="1">
        <f>N55+P55</f>
        <v>88963.56</v>
      </c>
      <c r="R55" s="1">
        <v>88963.56</v>
      </c>
      <c r="S55" s="1">
        <f t="shared" si="45"/>
        <v>0</v>
      </c>
      <c r="T55" s="1">
        <f t="shared" si="46"/>
        <v>88963.56</v>
      </c>
      <c r="U55" s="1">
        <v>98848.4</v>
      </c>
      <c r="V55" s="1">
        <f t="shared" si="47"/>
        <v>9884.8399999999965</v>
      </c>
      <c r="W55" s="1">
        <f t="shared" si="48"/>
        <v>98848.4</v>
      </c>
      <c r="X55" s="1">
        <v>106239.49</v>
      </c>
      <c r="Y55" s="41">
        <f t="shared" si="49"/>
        <v>7391.0900000000111</v>
      </c>
      <c r="Z55" s="1">
        <f t="shared" si="50"/>
        <v>106239.49</v>
      </c>
      <c r="AA55" s="1">
        <v>70585.55</v>
      </c>
      <c r="AB55" s="1">
        <f t="shared" si="51"/>
        <v>-35653.94</v>
      </c>
      <c r="AC55" s="1">
        <f t="shared" si="52"/>
        <v>70585.55</v>
      </c>
      <c r="AD55" s="41">
        <v>71645.070000000007</v>
      </c>
      <c r="AE55" s="1">
        <f t="shared" si="15"/>
        <v>1059.5200000000041</v>
      </c>
      <c r="AF55" s="1">
        <f t="shared" si="16"/>
        <v>71645.070000000007</v>
      </c>
    </row>
    <row r="56" spans="1:32">
      <c r="A56" s="11">
        <v>13000</v>
      </c>
      <c r="B56" s="11">
        <v>12004</v>
      </c>
      <c r="C56" s="11" t="s">
        <v>77</v>
      </c>
      <c r="D56" s="7">
        <v>0</v>
      </c>
      <c r="E56" s="7">
        <v>80832.56</v>
      </c>
      <c r="F56" s="7">
        <f>D56-E56</f>
        <v>-80832.56</v>
      </c>
      <c r="G56" s="7">
        <v>80832.56</v>
      </c>
      <c r="H56" s="7">
        <f>D56+G56</f>
        <v>80832.56</v>
      </c>
      <c r="I56" s="1">
        <v>73312.58</v>
      </c>
      <c r="J56" s="1">
        <f>H56-I56</f>
        <v>7519.9799999999959</v>
      </c>
      <c r="K56" s="1">
        <v>-7519.98</v>
      </c>
      <c r="L56" s="1">
        <f>H56+K56</f>
        <v>73312.58</v>
      </c>
      <c r="M56" s="7">
        <f>83785.8-L56</f>
        <v>10473.220000000001</v>
      </c>
      <c r="N56" s="1">
        <f>L56+M56</f>
        <v>83785.8</v>
      </c>
      <c r="O56" s="1">
        <v>75407.22</v>
      </c>
      <c r="P56" s="1">
        <f>O56-N56</f>
        <v>-8378.5800000000017</v>
      </c>
      <c r="Q56" s="1">
        <f>N56+P56</f>
        <v>75407.22</v>
      </c>
      <c r="R56" s="1">
        <v>67028.639999999999</v>
      </c>
      <c r="S56" s="1">
        <f t="shared" si="45"/>
        <v>-8378.5800000000017</v>
      </c>
      <c r="T56" s="1">
        <f t="shared" si="46"/>
        <v>67028.639999999999</v>
      </c>
      <c r="U56" s="1">
        <v>83785.8</v>
      </c>
      <c r="V56" s="1">
        <f t="shared" si="47"/>
        <v>16757.160000000003</v>
      </c>
      <c r="W56" s="1">
        <f t="shared" si="48"/>
        <v>83785.8</v>
      </c>
      <c r="X56" s="1">
        <v>92561.49</v>
      </c>
      <c r="Y56" s="41">
        <f t="shared" si="49"/>
        <v>8775.6900000000023</v>
      </c>
      <c r="Z56" s="1">
        <f t="shared" si="50"/>
        <v>92561.49</v>
      </c>
      <c r="AA56" s="1">
        <v>85470.8</v>
      </c>
      <c r="AB56" s="1">
        <f t="shared" si="51"/>
        <v>-7090.6900000000023</v>
      </c>
      <c r="AC56" s="1">
        <f t="shared" si="52"/>
        <v>85470.8</v>
      </c>
      <c r="AD56" s="41">
        <v>96154.29</v>
      </c>
      <c r="AE56" s="1">
        <f t="shared" si="15"/>
        <v>10683.489999999991</v>
      </c>
      <c r="AF56" s="1">
        <f t="shared" si="16"/>
        <v>96154.29</v>
      </c>
    </row>
    <row r="57" spans="1:32">
      <c r="A57" s="11">
        <v>13200</v>
      </c>
      <c r="B57" s="11">
        <v>12004</v>
      </c>
      <c r="C57" s="11" t="s">
        <v>77</v>
      </c>
      <c r="D57" s="7">
        <v>0</v>
      </c>
      <c r="E57" s="7">
        <v>20280.29</v>
      </c>
      <c r="F57" s="7">
        <f>D57-E57</f>
        <v>-20280.29</v>
      </c>
      <c r="G57" s="7">
        <v>20280.29</v>
      </c>
      <c r="H57" s="7">
        <f>D57+G57</f>
        <v>20280.29</v>
      </c>
      <c r="I57" s="1">
        <v>16757.16</v>
      </c>
      <c r="J57" s="1">
        <f>H57-I57</f>
        <v>3523.130000000001</v>
      </c>
      <c r="K57" s="1">
        <v>-3523.13</v>
      </c>
      <c r="L57" s="1">
        <f>H57+K57</f>
        <v>16757.16</v>
      </c>
      <c r="M57" s="7">
        <v>0</v>
      </c>
      <c r="N57" s="1">
        <f>L57+M57</f>
        <v>16757.16</v>
      </c>
      <c r="O57" s="1">
        <v>16757.16</v>
      </c>
      <c r="P57" s="1">
        <f>O57-N57</f>
        <v>0</v>
      </c>
      <c r="Q57" s="1">
        <f>N57+P57</f>
        <v>16757.16</v>
      </c>
      <c r="R57" s="1">
        <v>16757.16</v>
      </c>
      <c r="S57" s="1">
        <f t="shared" si="45"/>
        <v>0</v>
      </c>
      <c r="T57" s="1">
        <f t="shared" si="46"/>
        <v>16757.16</v>
      </c>
      <c r="U57" s="1">
        <v>16757.16</v>
      </c>
      <c r="V57" s="1">
        <f t="shared" si="47"/>
        <v>0</v>
      </c>
      <c r="W57" s="1">
        <f t="shared" si="48"/>
        <v>16757.16</v>
      </c>
      <c r="X57" s="1">
        <v>18366.900000000001</v>
      </c>
      <c r="Y57" s="41">
        <f t="shared" si="49"/>
        <v>1609.7400000000016</v>
      </c>
      <c r="Z57" s="1">
        <f t="shared" si="50"/>
        <v>18366.900000000001</v>
      </c>
      <c r="AA57" s="1">
        <v>25641.15</v>
      </c>
      <c r="AB57" s="1">
        <f t="shared" si="51"/>
        <v>7274.25</v>
      </c>
      <c r="AC57" s="1">
        <f t="shared" si="52"/>
        <v>25641.15</v>
      </c>
      <c r="AD57" s="41">
        <v>26750.98</v>
      </c>
      <c r="AE57" s="1">
        <f t="shared" si="15"/>
        <v>1109.8299999999981</v>
      </c>
      <c r="AF57" s="1">
        <f t="shared" si="16"/>
        <v>26750.98</v>
      </c>
    </row>
    <row r="58" spans="1:32">
      <c r="A58" s="11">
        <v>13300</v>
      </c>
      <c r="B58" s="11">
        <v>12004</v>
      </c>
      <c r="C58" s="11" t="s">
        <v>693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47">
        <v>0</v>
      </c>
      <c r="R58" s="41">
        <v>16757.16</v>
      </c>
      <c r="S58" s="1">
        <f t="shared" si="45"/>
        <v>16757.16</v>
      </c>
      <c r="T58" s="1">
        <f t="shared" si="46"/>
        <v>16757.16</v>
      </c>
      <c r="U58" s="1">
        <v>8378.58</v>
      </c>
      <c r="V58" s="1">
        <f t="shared" si="47"/>
        <v>-8378.58</v>
      </c>
      <c r="W58" s="1">
        <f t="shared" si="48"/>
        <v>8378.58</v>
      </c>
      <c r="X58" s="41">
        <v>8462.3700000000008</v>
      </c>
      <c r="Y58" s="41">
        <f t="shared" si="49"/>
        <v>83.790000000000873</v>
      </c>
      <c r="Z58" s="1">
        <f t="shared" si="50"/>
        <v>8462.3700000000008</v>
      </c>
      <c r="AA58" s="41">
        <v>17094.07</v>
      </c>
      <c r="AB58" s="41">
        <f t="shared" si="51"/>
        <v>8631.6999999999989</v>
      </c>
      <c r="AC58" s="1">
        <f t="shared" si="52"/>
        <v>17094.07</v>
      </c>
      <c r="AD58" s="41">
        <v>17350.78</v>
      </c>
      <c r="AE58" s="1">
        <f t="shared" si="15"/>
        <v>256.70999999999913</v>
      </c>
      <c r="AF58" s="1">
        <f t="shared" si="16"/>
        <v>17350.78</v>
      </c>
    </row>
    <row r="59" spans="1:32">
      <c r="A59" s="11">
        <v>15100</v>
      </c>
      <c r="B59" s="11">
        <v>12004</v>
      </c>
      <c r="C59" s="11" t="s">
        <v>158</v>
      </c>
      <c r="D59" s="7">
        <v>0</v>
      </c>
      <c r="E59" s="7">
        <v>132389.79999999999</v>
      </c>
      <c r="F59" s="7">
        <f>D59-E59</f>
        <v>-132389.79999999999</v>
      </c>
      <c r="G59" s="7">
        <v>132389.79999999999</v>
      </c>
      <c r="H59" s="7">
        <f>D59+G59</f>
        <v>132389.79999999999</v>
      </c>
      <c r="I59" s="1">
        <v>75407.22</v>
      </c>
      <c r="J59" s="1">
        <f>H59-I59</f>
        <v>56982.579999999987</v>
      </c>
      <c r="K59" s="1">
        <v>-56982.58</v>
      </c>
      <c r="L59" s="1">
        <f>H59+K59</f>
        <v>75407.219999999987</v>
      </c>
      <c r="M59" s="7">
        <f>67028.64-L59</f>
        <v>-8378.5799999999872</v>
      </c>
      <c r="N59" s="1">
        <f t="shared" ref="N59:N73" si="53">L59+M59</f>
        <v>67028.639999999999</v>
      </c>
      <c r="O59" s="1">
        <v>83695.16</v>
      </c>
      <c r="P59" s="1">
        <f t="shared" ref="P59:P73" si="54">O59-N59</f>
        <v>16666.520000000004</v>
      </c>
      <c r="Q59" s="1">
        <f t="shared" ref="Q59:Q73" si="55">N59+P59</f>
        <v>83695.16</v>
      </c>
      <c r="R59" s="1">
        <v>83785.8</v>
      </c>
      <c r="S59" s="1">
        <f t="shared" si="45"/>
        <v>90.639999999999418</v>
      </c>
      <c r="T59" s="1">
        <f t="shared" si="46"/>
        <v>83785.8</v>
      </c>
      <c r="U59" s="1">
        <v>108921.54</v>
      </c>
      <c r="V59" s="1">
        <f t="shared" si="47"/>
        <v>25135.739999999991</v>
      </c>
      <c r="W59" s="1">
        <f t="shared" si="48"/>
        <v>108921.54</v>
      </c>
      <c r="X59" s="1">
        <v>91567.05</v>
      </c>
      <c r="Y59" s="41">
        <f t="shared" si="49"/>
        <v>-17354.489999999991</v>
      </c>
      <c r="Z59" s="1">
        <f t="shared" si="50"/>
        <v>91567.05</v>
      </c>
      <c r="AA59" s="1">
        <v>76923.539999999994</v>
      </c>
      <c r="AB59" s="1">
        <f t="shared" si="51"/>
        <v>-14643.510000000009</v>
      </c>
      <c r="AC59" s="1">
        <f t="shared" si="52"/>
        <v>76923.539999999994</v>
      </c>
      <c r="AD59" s="41">
        <v>70962.740000000005</v>
      </c>
      <c r="AE59" s="1">
        <f t="shared" si="15"/>
        <v>-5960.7999999999884</v>
      </c>
      <c r="AF59" s="1">
        <f t="shared" si="16"/>
        <v>70962.740000000005</v>
      </c>
    </row>
    <row r="60" spans="1:32">
      <c r="A60" s="13">
        <v>16500</v>
      </c>
      <c r="B60" s="11">
        <v>12004</v>
      </c>
      <c r="C60" s="11" t="s">
        <v>98</v>
      </c>
      <c r="D60" s="7">
        <v>0</v>
      </c>
      <c r="E60" s="7">
        <v>21136.34</v>
      </c>
      <c r="F60" s="7">
        <f>D60-E60</f>
        <v>-21136.34</v>
      </c>
      <c r="G60" s="7">
        <v>21136.34</v>
      </c>
      <c r="H60" s="10">
        <f>D60+G60</f>
        <v>21136.34</v>
      </c>
      <c r="I60" s="16">
        <v>20946.45</v>
      </c>
      <c r="J60" s="16">
        <f>H60-I60</f>
        <v>189.88999999999942</v>
      </c>
      <c r="K60" s="16">
        <v>-189.89</v>
      </c>
      <c r="L60" s="1">
        <f>H60+K60</f>
        <v>20946.45</v>
      </c>
      <c r="M60" s="10">
        <f>8378.58-L60</f>
        <v>-12567.87</v>
      </c>
      <c r="N60" s="1">
        <f t="shared" si="53"/>
        <v>8378.58</v>
      </c>
      <c r="O60" s="1">
        <v>8378.58</v>
      </c>
      <c r="P60" s="1">
        <f t="shared" si="54"/>
        <v>0</v>
      </c>
      <c r="Q60" s="1">
        <f t="shared" si="55"/>
        <v>8378.58</v>
      </c>
      <c r="R60" s="41">
        <v>8378.58</v>
      </c>
      <c r="S60" s="1">
        <f t="shared" si="45"/>
        <v>0</v>
      </c>
      <c r="T60" s="1">
        <f t="shared" si="46"/>
        <v>8378.58</v>
      </c>
      <c r="U60" s="41">
        <v>16757.16</v>
      </c>
      <c r="V60" s="1">
        <f t="shared" si="47"/>
        <v>8378.58</v>
      </c>
      <c r="W60" s="1">
        <f t="shared" si="48"/>
        <v>16757.16</v>
      </c>
      <c r="X60" s="41">
        <v>17940.53</v>
      </c>
      <c r="Y60" s="41">
        <f t="shared" si="49"/>
        <v>1183.369999999999</v>
      </c>
      <c r="Z60" s="1">
        <f t="shared" si="50"/>
        <v>17940.53</v>
      </c>
      <c r="AA60" s="41">
        <v>19783.89</v>
      </c>
      <c r="AB60" s="1">
        <f t="shared" si="51"/>
        <v>1843.3600000000006</v>
      </c>
      <c r="AC60" s="1">
        <f t="shared" si="52"/>
        <v>19783.89</v>
      </c>
      <c r="AD60" s="41">
        <v>17350.78</v>
      </c>
      <c r="AE60" s="1">
        <f t="shared" si="15"/>
        <v>-2433.1100000000006</v>
      </c>
      <c r="AF60" s="1">
        <f t="shared" si="16"/>
        <v>17350.78</v>
      </c>
    </row>
    <row r="61" spans="1:32">
      <c r="A61" s="13">
        <v>17000</v>
      </c>
      <c r="B61" s="11">
        <v>12004</v>
      </c>
      <c r="C61" s="11" t="s">
        <v>102</v>
      </c>
      <c r="D61" s="7">
        <v>0</v>
      </c>
      <c r="E61" s="7">
        <v>9988.7999999999993</v>
      </c>
      <c r="F61" s="7">
        <f>D61-E61</f>
        <v>-9988.7999999999993</v>
      </c>
      <c r="G61" s="7">
        <v>9988.7999999999993</v>
      </c>
      <c r="H61" s="7">
        <f>D61+G61</f>
        <v>9988.7999999999993</v>
      </c>
      <c r="I61" s="16">
        <v>8378.58</v>
      </c>
      <c r="J61" s="1">
        <f>H61-I61</f>
        <v>1610.2199999999993</v>
      </c>
      <c r="K61" s="16">
        <v>-1610.22</v>
      </c>
      <c r="L61" s="1">
        <f>H61+K61</f>
        <v>8378.58</v>
      </c>
      <c r="M61" s="10">
        <v>0</v>
      </c>
      <c r="N61" s="1">
        <f t="shared" si="53"/>
        <v>8378.58</v>
      </c>
      <c r="O61" s="1">
        <v>8378.58</v>
      </c>
      <c r="P61" s="1">
        <f t="shared" si="54"/>
        <v>0</v>
      </c>
      <c r="Q61" s="1">
        <f t="shared" si="55"/>
        <v>8378.58</v>
      </c>
      <c r="R61" s="41">
        <v>8378.58</v>
      </c>
      <c r="S61" s="1">
        <f t="shared" si="45"/>
        <v>0</v>
      </c>
      <c r="T61" s="1">
        <f t="shared" si="46"/>
        <v>8378.58</v>
      </c>
      <c r="U61" s="41">
        <v>16757.16</v>
      </c>
      <c r="V61" s="1">
        <f t="shared" si="47"/>
        <v>8378.58</v>
      </c>
      <c r="W61" s="1">
        <f t="shared" si="48"/>
        <v>16757.16</v>
      </c>
      <c r="X61" s="41">
        <v>26157.01</v>
      </c>
      <c r="Y61" s="41">
        <f t="shared" si="49"/>
        <v>9399.8499999999985</v>
      </c>
      <c r="Z61" s="1">
        <f t="shared" si="50"/>
        <v>26157.01</v>
      </c>
      <c r="AA61" s="41">
        <v>34188.32</v>
      </c>
      <c r="AB61" s="1">
        <f t="shared" si="51"/>
        <v>8031.3100000000013</v>
      </c>
      <c r="AC61" s="1">
        <f t="shared" si="52"/>
        <v>34188.32</v>
      </c>
      <c r="AD61" s="41">
        <v>44936.95</v>
      </c>
      <c r="AE61" s="1">
        <f t="shared" si="15"/>
        <v>10748.629999999997</v>
      </c>
      <c r="AF61" s="1">
        <f t="shared" si="16"/>
        <v>44936.95</v>
      </c>
    </row>
    <row r="62" spans="1:32">
      <c r="A62" s="13">
        <v>17100</v>
      </c>
      <c r="B62" s="11">
        <v>12004</v>
      </c>
      <c r="C62" s="11" t="s">
        <v>151</v>
      </c>
      <c r="D62" s="7">
        <v>0</v>
      </c>
      <c r="E62" s="7">
        <v>40987.870000000003</v>
      </c>
      <c r="F62" s="7">
        <f>D62-E62</f>
        <v>-40987.870000000003</v>
      </c>
      <c r="G62" s="7">
        <v>40987.870000000003</v>
      </c>
      <c r="H62" s="7">
        <f>D62+G62</f>
        <v>40987.870000000003</v>
      </c>
      <c r="I62" s="16">
        <v>33514.32</v>
      </c>
      <c r="J62" s="16">
        <f>H62-I62</f>
        <v>7473.5500000000029</v>
      </c>
      <c r="K62" s="16">
        <v>-7473.55</v>
      </c>
      <c r="L62" s="16">
        <f>H62+K62</f>
        <v>33514.32</v>
      </c>
      <c r="M62" s="10">
        <f>34963.56-L62</f>
        <v>1449.239999999998</v>
      </c>
      <c r="N62" s="1">
        <f t="shared" si="53"/>
        <v>34963.56</v>
      </c>
      <c r="O62" s="1">
        <v>34963.56</v>
      </c>
      <c r="P62" s="1">
        <f t="shared" si="54"/>
        <v>0</v>
      </c>
      <c r="Q62" s="1">
        <f t="shared" si="55"/>
        <v>34963.56</v>
      </c>
      <c r="R62" s="41">
        <v>41892.9</v>
      </c>
      <c r="S62" s="1">
        <f t="shared" si="45"/>
        <v>6929.3400000000038</v>
      </c>
      <c r="T62" s="1">
        <f t="shared" si="46"/>
        <v>41892.9</v>
      </c>
      <c r="U62" s="41">
        <v>41892.9</v>
      </c>
      <c r="V62" s="1">
        <f t="shared" si="47"/>
        <v>0</v>
      </c>
      <c r="W62" s="1">
        <f t="shared" si="48"/>
        <v>41892.9</v>
      </c>
      <c r="X62" s="41">
        <v>53781.49</v>
      </c>
      <c r="Y62" s="41">
        <f t="shared" si="49"/>
        <v>11888.589999999997</v>
      </c>
      <c r="Z62" s="1">
        <f t="shared" si="50"/>
        <v>53781.49</v>
      </c>
      <c r="AA62" s="41">
        <v>59829.38</v>
      </c>
      <c r="AB62" s="1">
        <f t="shared" si="51"/>
        <v>6047.8899999999994</v>
      </c>
      <c r="AC62" s="1">
        <f t="shared" si="52"/>
        <v>59829.38</v>
      </c>
      <c r="AD62" s="41">
        <v>95428.53</v>
      </c>
      <c r="AE62" s="1">
        <f t="shared" si="15"/>
        <v>35599.15</v>
      </c>
      <c r="AF62" s="1">
        <f t="shared" si="16"/>
        <v>95428.53</v>
      </c>
    </row>
    <row r="63" spans="1:32">
      <c r="A63" s="13">
        <v>23110</v>
      </c>
      <c r="B63" s="11">
        <v>12004</v>
      </c>
      <c r="C63" s="11" t="s">
        <v>108</v>
      </c>
      <c r="D63" s="8"/>
      <c r="E63" s="8"/>
      <c r="F63" s="8"/>
      <c r="G63" s="8"/>
      <c r="H63" s="8"/>
      <c r="I63" s="8"/>
      <c r="J63" s="8"/>
      <c r="K63" s="8"/>
      <c r="L63" s="10">
        <v>16757.16</v>
      </c>
      <c r="M63" s="10">
        <v>0</v>
      </c>
      <c r="N63" s="7">
        <f t="shared" si="53"/>
        <v>16757.16</v>
      </c>
      <c r="O63" s="7">
        <v>16757.16</v>
      </c>
      <c r="P63" s="1">
        <f t="shared" si="54"/>
        <v>0</v>
      </c>
      <c r="Q63" s="1">
        <f t="shared" si="55"/>
        <v>16757.16</v>
      </c>
      <c r="R63" s="41">
        <v>25135.74</v>
      </c>
      <c r="S63" s="1">
        <f t="shared" si="45"/>
        <v>8378.5800000000017</v>
      </c>
      <c r="T63" s="1">
        <f t="shared" si="46"/>
        <v>25135.74</v>
      </c>
      <c r="U63" s="41">
        <v>33514.32</v>
      </c>
      <c r="V63" s="1">
        <f t="shared" si="47"/>
        <v>8378.5799999999981</v>
      </c>
      <c r="W63" s="1">
        <f t="shared" si="48"/>
        <v>33514.32</v>
      </c>
      <c r="X63" s="41">
        <v>19588.77</v>
      </c>
      <c r="Y63" s="41">
        <f t="shared" si="49"/>
        <v>-13925.55</v>
      </c>
      <c r="Z63" s="1">
        <f t="shared" si="50"/>
        <v>19588.77</v>
      </c>
      <c r="AA63" s="41">
        <v>17094.16</v>
      </c>
      <c r="AB63" s="41">
        <f t="shared" si="51"/>
        <v>-2494.6100000000006</v>
      </c>
      <c r="AC63" s="1">
        <f t="shared" si="52"/>
        <v>17094.16</v>
      </c>
      <c r="AD63" s="41">
        <v>26026.17</v>
      </c>
      <c r="AE63" s="1">
        <f t="shared" si="15"/>
        <v>8932.0099999999984</v>
      </c>
      <c r="AF63" s="1">
        <f t="shared" si="16"/>
        <v>26026.17</v>
      </c>
    </row>
    <row r="64" spans="1:32">
      <c r="A64" s="42">
        <v>23113</v>
      </c>
      <c r="B64" s="11">
        <v>12004</v>
      </c>
      <c r="C64" s="11" t="s">
        <v>136</v>
      </c>
      <c r="D64" s="7">
        <v>0</v>
      </c>
      <c r="E64" s="7">
        <v>72367.91</v>
      </c>
      <c r="F64" s="7">
        <f>D64-E64</f>
        <v>-72367.91</v>
      </c>
      <c r="G64" s="7">
        <v>72367.91</v>
      </c>
      <c r="H64" s="7">
        <f>D64+G64</f>
        <v>72367.91</v>
      </c>
      <c r="I64" s="7">
        <v>189216.27</v>
      </c>
      <c r="J64" s="7">
        <f t="shared" ref="J64:J73" si="56">H64-I64</f>
        <v>-116848.35999999999</v>
      </c>
      <c r="K64" s="7">
        <v>116848.36</v>
      </c>
      <c r="L64" s="7">
        <v>189216.27</v>
      </c>
      <c r="M64" s="7">
        <f>192234.74-L64</f>
        <v>3018.4700000000012</v>
      </c>
      <c r="N64" s="7">
        <f t="shared" si="53"/>
        <v>192234.74</v>
      </c>
      <c r="O64" s="7">
        <v>197446.46</v>
      </c>
      <c r="P64" s="1">
        <f t="shared" si="54"/>
        <v>5211.7200000000012</v>
      </c>
      <c r="Q64" s="1">
        <f t="shared" si="55"/>
        <v>197446.46</v>
      </c>
      <c r="R64" s="41">
        <v>189111.84</v>
      </c>
      <c r="S64" s="1">
        <f t="shared" si="45"/>
        <v>-8334.6199999999953</v>
      </c>
      <c r="T64" s="1">
        <f t="shared" si="46"/>
        <v>189111.84</v>
      </c>
      <c r="U64" s="41">
        <v>217843.08</v>
      </c>
      <c r="V64" s="1">
        <f t="shared" si="47"/>
        <v>28731.239999999991</v>
      </c>
      <c r="W64" s="1">
        <f t="shared" si="48"/>
        <v>217843.08</v>
      </c>
      <c r="X64" s="41">
        <v>247841.3</v>
      </c>
      <c r="Y64" s="41">
        <f t="shared" si="49"/>
        <v>29998.22</v>
      </c>
      <c r="Z64" s="1">
        <f t="shared" si="50"/>
        <v>247841.3</v>
      </c>
      <c r="AA64" s="41">
        <v>239317.07</v>
      </c>
      <c r="AB64" s="41">
        <f t="shared" si="51"/>
        <v>-8524.2299999999814</v>
      </c>
      <c r="AC64" s="1">
        <f t="shared" si="52"/>
        <v>239317.07</v>
      </c>
      <c r="AD64" s="41">
        <v>251585.17</v>
      </c>
      <c r="AE64" s="1">
        <f t="shared" si="15"/>
        <v>12268.100000000006</v>
      </c>
      <c r="AF64" s="1">
        <f t="shared" si="16"/>
        <v>251585.17</v>
      </c>
    </row>
    <row r="65" spans="1:32">
      <c r="A65" s="11">
        <v>32000</v>
      </c>
      <c r="B65" s="11">
        <v>12004</v>
      </c>
      <c r="C65" s="11" t="s">
        <v>139</v>
      </c>
      <c r="D65" s="7">
        <v>0</v>
      </c>
      <c r="E65" s="7">
        <v>20031.240000000002</v>
      </c>
      <c r="F65" s="7">
        <f>D65-E65</f>
        <v>-20031.240000000002</v>
      </c>
      <c r="G65" s="7">
        <v>20031.240000000002</v>
      </c>
      <c r="H65" s="7">
        <f>D65+G65</f>
        <v>20031.240000000002</v>
      </c>
      <c r="I65" s="1">
        <v>41194.69</v>
      </c>
      <c r="J65" s="1">
        <f t="shared" si="56"/>
        <v>-21163.45</v>
      </c>
      <c r="K65" s="1">
        <v>21163.45</v>
      </c>
      <c r="L65" s="1">
        <f t="shared" ref="L65:L71" si="57">H65+K65</f>
        <v>41194.69</v>
      </c>
      <c r="M65" s="7">
        <f>33514.32-L65</f>
        <v>-7680.3700000000026</v>
      </c>
      <c r="N65" s="1">
        <f t="shared" si="53"/>
        <v>33514.32</v>
      </c>
      <c r="O65" s="1">
        <v>25135.74</v>
      </c>
      <c r="P65" s="1">
        <f t="shared" si="54"/>
        <v>-8378.5799999999981</v>
      </c>
      <c r="Q65" s="1">
        <f t="shared" si="55"/>
        <v>25135.74</v>
      </c>
      <c r="R65" s="41">
        <v>33514.32</v>
      </c>
      <c r="S65" s="1">
        <f t="shared" si="45"/>
        <v>8378.5799999999981</v>
      </c>
      <c r="T65" s="1">
        <f t="shared" si="46"/>
        <v>33514.32</v>
      </c>
      <c r="U65" s="41">
        <v>41892.9</v>
      </c>
      <c r="V65" s="1">
        <f t="shared" si="47"/>
        <v>8378.5800000000017</v>
      </c>
      <c r="W65" s="1">
        <f t="shared" si="48"/>
        <v>41892.9</v>
      </c>
      <c r="X65" s="41">
        <v>45132.07</v>
      </c>
      <c r="Y65" s="41">
        <f t="shared" si="49"/>
        <v>3239.1699999999983</v>
      </c>
      <c r="Z65" s="1">
        <f t="shared" si="50"/>
        <v>45132.07</v>
      </c>
      <c r="AA65" s="41">
        <v>59829.47</v>
      </c>
      <c r="AB65" s="41">
        <f t="shared" si="51"/>
        <v>14697.400000000001</v>
      </c>
      <c r="AC65" s="1">
        <f t="shared" si="52"/>
        <v>59829.47</v>
      </c>
      <c r="AD65" s="41">
        <v>60727.73</v>
      </c>
      <c r="AE65" s="1">
        <f t="shared" si="15"/>
        <v>898.26000000000204</v>
      </c>
      <c r="AF65" s="1">
        <f t="shared" si="16"/>
        <v>60727.73</v>
      </c>
    </row>
    <row r="66" spans="1:32">
      <c r="A66" s="11">
        <v>33220</v>
      </c>
      <c r="B66" s="11">
        <v>12004</v>
      </c>
      <c r="C66" s="11" t="s">
        <v>121</v>
      </c>
      <c r="D66" s="7">
        <v>0</v>
      </c>
      <c r="E66" s="7">
        <v>40366.410000000003</v>
      </c>
      <c r="F66" s="7">
        <f>D66-E66</f>
        <v>-40366.410000000003</v>
      </c>
      <c r="G66" s="7">
        <v>40366.410000000003</v>
      </c>
      <c r="H66" s="7">
        <f>D66+G66</f>
        <v>40366.410000000003</v>
      </c>
      <c r="I66" s="1">
        <v>39798.26</v>
      </c>
      <c r="J66" s="1">
        <f t="shared" si="56"/>
        <v>568.15000000000146</v>
      </c>
      <c r="K66" s="1">
        <v>-568.15</v>
      </c>
      <c r="L66" s="1">
        <f t="shared" si="57"/>
        <v>39798.26</v>
      </c>
      <c r="M66" s="7">
        <f>33514.32-L66</f>
        <v>-6283.9400000000023</v>
      </c>
      <c r="N66" s="1">
        <f t="shared" si="53"/>
        <v>33514.32</v>
      </c>
      <c r="O66" s="1">
        <v>33514.32</v>
      </c>
      <c r="P66" s="1">
        <f t="shared" si="54"/>
        <v>0</v>
      </c>
      <c r="Q66" s="1">
        <f t="shared" si="55"/>
        <v>33514.32</v>
      </c>
      <c r="R66" s="1">
        <v>33514.32</v>
      </c>
      <c r="S66" s="1">
        <f t="shared" si="45"/>
        <v>0</v>
      </c>
      <c r="T66" s="1">
        <f t="shared" si="46"/>
        <v>33514.32</v>
      </c>
      <c r="U66" s="1">
        <v>41892.9</v>
      </c>
      <c r="V66" s="1">
        <f t="shared" si="47"/>
        <v>8378.5800000000017</v>
      </c>
      <c r="W66" s="1">
        <f t="shared" si="48"/>
        <v>41892.9</v>
      </c>
      <c r="X66" s="1">
        <f>2977.53+33849.48</f>
        <v>36827.01</v>
      </c>
      <c r="Y66" s="41">
        <f t="shared" si="49"/>
        <v>-5065.8899999999994</v>
      </c>
      <c r="Z66" s="1">
        <f t="shared" si="50"/>
        <v>36827.01</v>
      </c>
      <c r="AA66" s="1">
        <v>42735.31</v>
      </c>
      <c r="AB66" s="41">
        <f t="shared" si="51"/>
        <v>5908.2999999999956</v>
      </c>
      <c r="AC66" s="1">
        <f t="shared" si="52"/>
        <v>42735.31</v>
      </c>
      <c r="AD66" s="41">
        <v>43376.95</v>
      </c>
      <c r="AE66" s="1">
        <f t="shared" ref="AE66:AE129" si="58">AD66-AC66</f>
        <v>641.63999999999942</v>
      </c>
      <c r="AF66" s="1">
        <f t="shared" ref="AF66:AF129" si="59">AC66+AE66</f>
        <v>43376.95</v>
      </c>
    </row>
    <row r="67" spans="1:32">
      <c r="A67" s="11">
        <v>33400</v>
      </c>
      <c r="B67" s="11">
        <v>12004</v>
      </c>
      <c r="C67" s="11" t="s">
        <v>124</v>
      </c>
      <c r="D67" s="7">
        <v>0</v>
      </c>
      <c r="E67" s="7">
        <v>29908.240000000002</v>
      </c>
      <c r="F67" s="7">
        <f>D67-E67</f>
        <v>-29908.240000000002</v>
      </c>
      <c r="G67" s="7">
        <v>29908.240000000002</v>
      </c>
      <c r="H67" s="7">
        <f>D67+G67</f>
        <v>29908.240000000002</v>
      </c>
      <c r="I67" s="16">
        <v>8378.58</v>
      </c>
      <c r="J67" s="1">
        <f t="shared" si="56"/>
        <v>21529.660000000003</v>
      </c>
      <c r="K67" s="1">
        <v>-21529.66</v>
      </c>
      <c r="L67" s="1">
        <f t="shared" si="57"/>
        <v>8378.5800000000017</v>
      </c>
      <c r="M67" s="7">
        <v>0</v>
      </c>
      <c r="N67" s="1">
        <f t="shared" si="53"/>
        <v>8378.5800000000017</v>
      </c>
      <c r="O67" s="1">
        <v>8378.58</v>
      </c>
      <c r="P67" s="1">
        <f t="shared" si="54"/>
        <v>0</v>
      </c>
      <c r="Q67" s="1">
        <f t="shared" si="55"/>
        <v>8378.5800000000017</v>
      </c>
      <c r="R67" s="1">
        <v>8378.58</v>
      </c>
      <c r="S67" s="1">
        <f t="shared" si="45"/>
        <v>0</v>
      </c>
      <c r="T67" s="1">
        <f t="shared" si="46"/>
        <v>8378.5800000000017</v>
      </c>
      <c r="U67" s="1">
        <v>8378.58</v>
      </c>
      <c r="V67" s="1">
        <f t="shared" si="47"/>
        <v>0</v>
      </c>
      <c r="W67" s="1">
        <f t="shared" si="48"/>
        <v>8378.5800000000017</v>
      </c>
      <c r="X67" s="1">
        <v>9206.9599999999991</v>
      </c>
      <c r="Y67" s="41">
        <f t="shared" si="49"/>
        <v>828.37999999999738</v>
      </c>
      <c r="Z67" s="1">
        <f t="shared" si="50"/>
        <v>9206.9599999999991</v>
      </c>
      <c r="AA67" s="1">
        <v>8547.08</v>
      </c>
      <c r="AB67" s="1">
        <f t="shared" si="51"/>
        <v>-659.8799999999992</v>
      </c>
      <c r="AC67" s="1">
        <f t="shared" si="52"/>
        <v>8547.08</v>
      </c>
      <c r="AD67" s="41">
        <v>8675.39</v>
      </c>
      <c r="AE67" s="1">
        <f t="shared" si="58"/>
        <v>128.30999999999949</v>
      </c>
      <c r="AF67" s="1">
        <f t="shared" si="59"/>
        <v>8675.39</v>
      </c>
    </row>
    <row r="68" spans="1:32">
      <c r="A68" s="11">
        <v>33600</v>
      </c>
      <c r="B68" s="11">
        <v>12004</v>
      </c>
      <c r="C68" s="11" t="s">
        <v>130</v>
      </c>
      <c r="D68" s="7">
        <v>0</v>
      </c>
      <c r="E68" s="7">
        <v>30851.34</v>
      </c>
      <c r="F68" s="7">
        <f>D68-E68</f>
        <v>-30851.34</v>
      </c>
      <c r="G68" s="7">
        <v>30851.34</v>
      </c>
      <c r="H68" s="7">
        <f>D68+G68</f>
        <v>30851.34</v>
      </c>
      <c r="I68" s="1">
        <v>25135.74</v>
      </c>
      <c r="J68" s="1">
        <f t="shared" si="56"/>
        <v>5715.5999999999985</v>
      </c>
      <c r="K68" s="1">
        <v>-5715.6</v>
      </c>
      <c r="L68" s="1">
        <f t="shared" si="57"/>
        <v>25135.739999999998</v>
      </c>
      <c r="M68" s="7">
        <v>0</v>
      </c>
      <c r="N68" s="1">
        <f t="shared" si="53"/>
        <v>25135.739999999998</v>
      </c>
      <c r="O68" s="1">
        <v>25135.74</v>
      </c>
      <c r="P68" s="1">
        <f t="shared" si="54"/>
        <v>0</v>
      </c>
      <c r="Q68" s="1">
        <f t="shared" si="55"/>
        <v>25135.739999999998</v>
      </c>
      <c r="R68" s="1">
        <v>25135.74</v>
      </c>
      <c r="S68" s="1">
        <f t="shared" si="45"/>
        <v>0</v>
      </c>
      <c r="T68" s="1">
        <f t="shared" si="46"/>
        <v>25135.739999999998</v>
      </c>
      <c r="U68" s="1">
        <v>25135.74</v>
      </c>
      <c r="V68" s="1">
        <f t="shared" si="47"/>
        <v>0</v>
      </c>
      <c r="W68" s="1">
        <f t="shared" si="48"/>
        <v>25135.739999999998</v>
      </c>
      <c r="X68" s="1">
        <v>27623.93</v>
      </c>
      <c r="Y68" s="41">
        <f t="shared" si="49"/>
        <v>2488.1900000000023</v>
      </c>
      <c r="Z68" s="1">
        <f t="shared" si="50"/>
        <v>27623.93</v>
      </c>
      <c r="AA68" s="1">
        <v>25641.24</v>
      </c>
      <c r="AB68" s="1">
        <f t="shared" si="51"/>
        <v>-1982.6899999999987</v>
      </c>
      <c r="AC68" s="1">
        <f t="shared" si="52"/>
        <v>25641.24</v>
      </c>
      <c r="AD68" s="41">
        <v>26026.17</v>
      </c>
      <c r="AE68" s="1">
        <f t="shared" si="58"/>
        <v>384.92999999999665</v>
      </c>
      <c r="AF68" s="1">
        <f t="shared" si="59"/>
        <v>26026.17</v>
      </c>
    </row>
    <row r="69" spans="1:32">
      <c r="A69" s="11">
        <v>33700</v>
      </c>
      <c r="B69" s="11">
        <v>12004</v>
      </c>
      <c r="C69" s="11" t="s">
        <v>600</v>
      </c>
      <c r="D69" s="7"/>
      <c r="E69" s="7"/>
      <c r="F69" s="7"/>
      <c r="G69" s="7"/>
      <c r="H69" s="7">
        <v>0</v>
      </c>
      <c r="I69" s="1">
        <v>14662.52</v>
      </c>
      <c r="J69" s="1">
        <f t="shared" si="56"/>
        <v>-14662.52</v>
      </c>
      <c r="K69" s="1">
        <v>14662.52</v>
      </c>
      <c r="L69" s="1">
        <f t="shared" si="57"/>
        <v>14662.52</v>
      </c>
      <c r="M69" s="7">
        <f>16757.16-L69</f>
        <v>2094.6399999999994</v>
      </c>
      <c r="N69" s="1">
        <f t="shared" si="53"/>
        <v>16757.16</v>
      </c>
      <c r="O69" s="1">
        <v>8378.58</v>
      </c>
      <c r="P69" s="1">
        <f t="shared" si="54"/>
        <v>-8378.58</v>
      </c>
      <c r="Q69" s="1">
        <f t="shared" si="55"/>
        <v>8378.58</v>
      </c>
      <c r="R69" s="1">
        <v>8378.58</v>
      </c>
      <c r="S69" s="1">
        <f t="shared" si="45"/>
        <v>0</v>
      </c>
      <c r="T69" s="1">
        <f t="shared" si="46"/>
        <v>8378.58</v>
      </c>
      <c r="U69" s="1">
        <v>8378.58</v>
      </c>
      <c r="V69" s="1">
        <f t="shared" si="47"/>
        <v>0</v>
      </c>
      <c r="W69" s="1">
        <f t="shared" si="48"/>
        <v>8378.58</v>
      </c>
      <c r="X69" s="1">
        <v>17614.78</v>
      </c>
      <c r="Y69" s="41">
        <f t="shared" si="49"/>
        <v>9236.1999999999989</v>
      </c>
      <c r="Z69" s="1">
        <f t="shared" si="50"/>
        <v>17614.78</v>
      </c>
      <c r="AA69" s="1">
        <v>17094.16</v>
      </c>
      <c r="AB69" s="1">
        <f t="shared" si="51"/>
        <v>-520.61999999999898</v>
      </c>
      <c r="AC69" s="1">
        <f t="shared" si="52"/>
        <v>17094.16</v>
      </c>
      <c r="AD69" s="41">
        <v>8675.39</v>
      </c>
      <c r="AE69" s="1">
        <f t="shared" si="58"/>
        <v>-8418.77</v>
      </c>
      <c r="AF69" s="1">
        <f t="shared" si="59"/>
        <v>8675.39</v>
      </c>
    </row>
    <row r="70" spans="1:32">
      <c r="A70" s="13">
        <v>33800</v>
      </c>
      <c r="B70" s="11">
        <v>12004</v>
      </c>
      <c r="C70" s="11" t="s">
        <v>600</v>
      </c>
      <c r="D70" s="7"/>
      <c r="E70" s="7"/>
      <c r="F70" s="7"/>
      <c r="G70" s="7"/>
      <c r="H70" s="7">
        <v>0</v>
      </c>
      <c r="I70" s="16">
        <v>8378.58</v>
      </c>
      <c r="J70" s="16">
        <f t="shared" si="56"/>
        <v>-8378.58</v>
      </c>
      <c r="K70" s="16">
        <v>8378.58</v>
      </c>
      <c r="L70" s="1">
        <f t="shared" si="57"/>
        <v>8378.58</v>
      </c>
      <c r="M70" s="7">
        <v>0</v>
      </c>
      <c r="N70" s="1">
        <f t="shared" si="53"/>
        <v>8378.58</v>
      </c>
      <c r="O70" s="1">
        <v>8378.58</v>
      </c>
      <c r="P70" s="1">
        <f t="shared" si="54"/>
        <v>0</v>
      </c>
      <c r="Q70" s="1">
        <f t="shared" si="55"/>
        <v>8378.58</v>
      </c>
      <c r="R70" s="1">
        <v>8378.58</v>
      </c>
      <c r="S70" s="1">
        <f t="shared" si="45"/>
        <v>0</v>
      </c>
      <c r="T70" s="1">
        <f t="shared" si="46"/>
        <v>8378.58</v>
      </c>
      <c r="U70" s="1">
        <v>16757.16</v>
      </c>
      <c r="V70" s="1">
        <f t="shared" si="47"/>
        <v>8378.58</v>
      </c>
      <c r="W70" s="1">
        <f t="shared" si="48"/>
        <v>16757.16</v>
      </c>
      <c r="X70" s="1">
        <v>17615.080000000002</v>
      </c>
      <c r="Y70" s="41">
        <f t="shared" si="49"/>
        <v>857.92000000000189</v>
      </c>
      <c r="Z70" s="1">
        <f t="shared" si="50"/>
        <v>17615.080000000002</v>
      </c>
      <c r="AA70" s="1">
        <v>25641.15</v>
      </c>
      <c r="AB70" s="1">
        <f t="shared" si="51"/>
        <v>8026.07</v>
      </c>
      <c r="AC70" s="1">
        <f t="shared" si="52"/>
        <v>25641.15</v>
      </c>
      <c r="AD70" s="41">
        <v>17350.78</v>
      </c>
      <c r="AE70" s="1">
        <f t="shared" si="58"/>
        <v>-8290.3700000000026</v>
      </c>
      <c r="AF70" s="1">
        <f t="shared" si="59"/>
        <v>17350.78</v>
      </c>
    </row>
    <row r="71" spans="1:32">
      <c r="A71" s="11">
        <v>34000</v>
      </c>
      <c r="B71" s="11">
        <v>12004</v>
      </c>
      <c r="C71" s="11" t="s">
        <v>147</v>
      </c>
      <c r="D71" s="7">
        <v>0</v>
      </c>
      <c r="E71" s="7">
        <v>30664.74</v>
      </c>
      <c r="F71" s="7">
        <f>D71-E71</f>
        <v>-30664.74</v>
      </c>
      <c r="G71" s="7">
        <v>30664.74</v>
      </c>
      <c r="H71" s="7">
        <f>D71+G71</f>
        <v>30664.74</v>
      </c>
      <c r="I71" s="16">
        <v>25135.74</v>
      </c>
      <c r="J71" s="16">
        <f t="shared" si="56"/>
        <v>5529</v>
      </c>
      <c r="K71" s="16">
        <v>-5529</v>
      </c>
      <c r="L71" s="1">
        <f t="shared" si="57"/>
        <v>25135.74</v>
      </c>
      <c r="M71" s="7">
        <v>0</v>
      </c>
      <c r="N71" s="1">
        <f t="shared" si="53"/>
        <v>25135.74</v>
      </c>
      <c r="O71" s="1">
        <v>16757.16</v>
      </c>
      <c r="P71" s="1">
        <f t="shared" si="54"/>
        <v>-8378.5800000000017</v>
      </c>
      <c r="Q71" s="1">
        <f t="shared" si="55"/>
        <v>16757.16</v>
      </c>
      <c r="R71" s="1">
        <v>8378.58</v>
      </c>
      <c r="S71" s="1">
        <f t="shared" si="45"/>
        <v>-8378.58</v>
      </c>
      <c r="T71" s="1">
        <f t="shared" si="46"/>
        <v>8378.58</v>
      </c>
      <c r="U71" s="1">
        <v>8378.58</v>
      </c>
      <c r="V71" s="1">
        <f t="shared" si="47"/>
        <v>0</v>
      </c>
      <c r="W71" s="1">
        <f t="shared" si="48"/>
        <v>8378.58</v>
      </c>
      <c r="X71" s="1">
        <v>10051.59</v>
      </c>
      <c r="Y71" s="41">
        <f t="shared" si="49"/>
        <v>1673.0100000000002</v>
      </c>
      <c r="Z71" s="1">
        <f t="shared" si="50"/>
        <v>10051.59</v>
      </c>
      <c r="AA71" s="1">
        <v>17094.07</v>
      </c>
      <c r="AB71" s="1">
        <f t="shared" si="51"/>
        <v>7042.48</v>
      </c>
      <c r="AC71" s="1">
        <f t="shared" si="52"/>
        <v>17094.07</v>
      </c>
      <c r="AD71" s="41">
        <v>17350.78</v>
      </c>
      <c r="AE71" s="1">
        <f t="shared" si="58"/>
        <v>256.70999999999913</v>
      </c>
      <c r="AF71" s="1">
        <f t="shared" si="59"/>
        <v>17350.78</v>
      </c>
    </row>
    <row r="72" spans="1:32">
      <c r="A72" s="11">
        <v>43120</v>
      </c>
      <c r="B72" s="11">
        <v>12004</v>
      </c>
      <c r="C72" s="11" t="s">
        <v>161</v>
      </c>
      <c r="D72" s="7">
        <v>0</v>
      </c>
      <c r="E72" s="7">
        <v>10417.9</v>
      </c>
      <c r="F72" s="7">
        <f>D72-E72</f>
        <v>-10417.9</v>
      </c>
      <c r="G72" s="7">
        <v>10417.9</v>
      </c>
      <c r="H72" s="7">
        <f>D72+G72</f>
        <v>10417.9</v>
      </c>
      <c r="I72" s="10">
        <v>9775.01</v>
      </c>
      <c r="J72" s="10">
        <f t="shared" si="56"/>
        <v>642.88999999999942</v>
      </c>
      <c r="K72" s="10">
        <v>-642.89</v>
      </c>
      <c r="L72" s="7">
        <v>9775.01</v>
      </c>
      <c r="M72" s="10">
        <f>8378.58-L72</f>
        <v>-1396.4300000000003</v>
      </c>
      <c r="N72" s="7">
        <f t="shared" si="53"/>
        <v>8378.58</v>
      </c>
      <c r="O72" s="7">
        <v>8378.58</v>
      </c>
      <c r="P72" s="1">
        <f t="shared" si="54"/>
        <v>0</v>
      </c>
      <c r="Q72" s="1">
        <f t="shared" si="55"/>
        <v>8378.58</v>
      </c>
      <c r="R72" s="1">
        <v>8378.58</v>
      </c>
      <c r="S72" s="1">
        <f t="shared" si="45"/>
        <v>0</v>
      </c>
      <c r="T72" s="1">
        <f t="shared" si="46"/>
        <v>8378.58</v>
      </c>
      <c r="U72" s="1">
        <v>8378.58</v>
      </c>
      <c r="V72" s="1">
        <f t="shared" si="47"/>
        <v>0</v>
      </c>
      <c r="W72" s="1">
        <f t="shared" si="48"/>
        <v>8378.58</v>
      </c>
      <c r="X72" s="1">
        <v>9242.83</v>
      </c>
      <c r="Y72" s="41">
        <f t="shared" si="49"/>
        <v>864.25</v>
      </c>
      <c r="Z72" s="1">
        <f t="shared" si="50"/>
        <v>9242.83</v>
      </c>
      <c r="AA72" s="1">
        <v>17094.16</v>
      </c>
      <c r="AB72" s="41">
        <f t="shared" si="51"/>
        <v>7851.33</v>
      </c>
      <c r="AC72" s="1">
        <f t="shared" si="52"/>
        <v>17094.16</v>
      </c>
      <c r="AD72" s="41">
        <v>17350.78</v>
      </c>
      <c r="AE72" s="1">
        <f t="shared" si="58"/>
        <v>256.61999999999898</v>
      </c>
      <c r="AF72" s="1">
        <f t="shared" si="59"/>
        <v>17350.78</v>
      </c>
    </row>
    <row r="73" spans="1:32">
      <c r="A73" s="13">
        <v>43200</v>
      </c>
      <c r="B73" s="11">
        <v>12004</v>
      </c>
      <c r="C73" s="11" t="s">
        <v>181</v>
      </c>
      <c r="D73" s="7">
        <v>0</v>
      </c>
      <c r="E73" s="7">
        <v>30853.03</v>
      </c>
      <c r="F73" s="7">
        <f>D73-E73</f>
        <v>-30853.03</v>
      </c>
      <c r="G73" s="7">
        <v>30853.03</v>
      </c>
      <c r="H73" s="7">
        <f>D73+G73</f>
        <v>30853.03</v>
      </c>
      <c r="I73" s="16">
        <v>60046.49</v>
      </c>
      <c r="J73" s="16">
        <f t="shared" si="56"/>
        <v>-29193.46</v>
      </c>
      <c r="K73" s="16">
        <v>29193.46</v>
      </c>
      <c r="L73" s="1">
        <f>H73+K73</f>
        <v>60046.49</v>
      </c>
      <c r="M73" s="7">
        <f>58650.06-L73</f>
        <v>-1396.4300000000003</v>
      </c>
      <c r="N73" s="1">
        <f t="shared" si="53"/>
        <v>58650.06</v>
      </c>
      <c r="O73" s="1">
        <v>58650.06</v>
      </c>
      <c r="P73" s="1">
        <f t="shared" si="54"/>
        <v>0</v>
      </c>
      <c r="Q73" s="1">
        <f t="shared" si="55"/>
        <v>58650.06</v>
      </c>
      <c r="R73" s="1">
        <v>58650.06</v>
      </c>
      <c r="S73" s="1">
        <f t="shared" si="45"/>
        <v>0</v>
      </c>
      <c r="T73" s="1">
        <f t="shared" si="46"/>
        <v>58650.06</v>
      </c>
      <c r="U73" s="1">
        <v>67028.639999999999</v>
      </c>
      <c r="V73" s="1">
        <f t="shared" si="47"/>
        <v>8378.5800000000017</v>
      </c>
      <c r="W73" s="1">
        <f t="shared" si="48"/>
        <v>67028.639999999999</v>
      </c>
      <c r="X73" s="1">
        <v>63758.99</v>
      </c>
      <c r="Y73" s="41">
        <f t="shared" si="49"/>
        <v>-3269.6500000000015</v>
      </c>
      <c r="Z73" s="1">
        <f t="shared" si="50"/>
        <v>63758.99</v>
      </c>
      <c r="AA73" s="1">
        <v>59829.56</v>
      </c>
      <c r="AB73" s="41">
        <f t="shared" si="51"/>
        <v>-3929.4300000000003</v>
      </c>
      <c r="AC73" s="1">
        <f t="shared" si="52"/>
        <v>59829.56</v>
      </c>
      <c r="AD73" s="41">
        <v>60727.73</v>
      </c>
      <c r="AE73" s="1">
        <f t="shared" si="58"/>
        <v>898.17000000000553</v>
      </c>
      <c r="AF73" s="1">
        <f t="shared" si="59"/>
        <v>60727.73</v>
      </c>
    </row>
    <row r="74" spans="1:32">
      <c r="A74" s="13">
        <v>43210</v>
      </c>
      <c r="B74" s="11">
        <v>12004</v>
      </c>
      <c r="C74" s="42" t="s">
        <v>877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3"/>
      <c r="S74" s="8"/>
      <c r="T74" s="8"/>
      <c r="U74" s="8"/>
      <c r="V74" s="8"/>
      <c r="W74" s="8"/>
      <c r="X74" s="8"/>
      <c r="Y74" s="8"/>
      <c r="Z74" s="47">
        <v>0</v>
      </c>
      <c r="AA74" s="47">
        <v>8547.08</v>
      </c>
      <c r="AB74" s="41">
        <f t="shared" si="51"/>
        <v>8547.08</v>
      </c>
      <c r="AC74" s="1">
        <f t="shared" si="52"/>
        <v>8547.08</v>
      </c>
      <c r="AD74" s="41">
        <v>8675.39</v>
      </c>
      <c r="AE74" s="1">
        <f t="shared" si="58"/>
        <v>128.30999999999949</v>
      </c>
      <c r="AF74" s="1">
        <f t="shared" si="59"/>
        <v>8675.39</v>
      </c>
    </row>
    <row r="75" spans="1:32">
      <c r="A75" s="11">
        <v>45900</v>
      </c>
      <c r="B75" s="11">
        <v>12004</v>
      </c>
      <c r="C75" s="11" t="s">
        <v>184</v>
      </c>
      <c r="D75" s="7">
        <v>0</v>
      </c>
      <c r="E75" s="7">
        <v>40437.94</v>
      </c>
      <c r="F75" s="7">
        <f>D75-E75</f>
        <v>-40437.94</v>
      </c>
      <c r="G75" s="7">
        <v>40437.94</v>
      </c>
      <c r="H75" s="7">
        <f>D75+G75</f>
        <v>40437.94</v>
      </c>
      <c r="I75" s="1">
        <v>44685.760000000002</v>
      </c>
      <c r="J75" s="1">
        <f>H75-I75</f>
        <v>-4247.82</v>
      </c>
      <c r="K75" s="1">
        <v>4247.82</v>
      </c>
      <c r="L75" s="1">
        <f>H75+K75</f>
        <v>44685.760000000002</v>
      </c>
      <c r="M75" s="7">
        <f>75316.58-L75</f>
        <v>30630.82</v>
      </c>
      <c r="N75" s="1">
        <f t="shared" ref="N75:N81" si="60">L75+M75</f>
        <v>75316.58</v>
      </c>
      <c r="O75" s="1">
        <v>58650.06</v>
      </c>
      <c r="P75" s="1">
        <f t="shared" ref="P75:P81" si="61">O75-N75</f>
        <v>-16666.520000000004</v>
      </c>
      <c r="Q75" s="1">
        <f t="shared" ref="Q75:Q81" si="62">N75+P75</f>
        <v>58650.06</v>
      </c>
      <c r="R75" s="41">
        <v>108921.46</v>
      </c>
      <c r="S75" s="1">
        <f t="shared" ref="S75:S81" si="63">R75-Q75</f>
        <v>50271.400000000009</v>
      </c>
      <c r="T75" s="1">
        <f t="shared" ref="T75:T81" si="64">Q75+S75</f>
        <v>108921.46</v>
      </c>
      <c r="U75" s="41">
        <v>75407.22</v>
      </c>
      <c r="V75" s="1">
        <f t="shared" ref="V75:V86" si="65">U75-T75</f>
        <v>-33514.240000000005</v>
      </c>
      <c r="W75" s="1">
        <f t="shared" ref="W75:W86" si="66">T75+V75</f>
        <v>75407.22</v>
      </c>
      <c r="X75" s="41">
        <v>80598.03</v>
      </c>
      <c r="Y75" s="41">
        <f t="shared" ref="Y75:Y86" si="67">X75-W75</f>
        <v>5190.8099999999977</v>
      </c>
      <c r="Z75" s="1">
        <f t="shared" ref="Z75:Z86" si="68">W75+Y75</f>
        <v>80598.03</v>
      </c>
      <c r="AA75" s="41">
        <v>94017.7</v>
      </c>
      <c r="AB75" s="41">
        <f t="shared" si="51"/>
        <v>13419.669999999998</v>
      </c>
      <c r="AC75" s="1">
        <f t="shared" si="52"/>
        <v>94017.7</v>
      </c>
      <c r="AD75" s="41">
        <v>95429.29</v>
      </c>
      <c r="AE75" s="1">
        <f t="shared" si="58"/>
        <v>1411.5899999999965</v>
      </c>
      <c r="AF75" s="1">
        <f t="shared" si="59"/>
        <v>95429.29</v>
      </c>
    </row>
    <row r="76" spans="1:32">
      <c r="A76" s="11">
        <v>92000</v>
      </c>
      <c r="B76" s="11">
        <v>12004</v>
      </c>
      <c r="C76" s="11" t="s">
        <v>194</v>
      </c>
      <c r="D76" s="7">
        <v>0</v>
      </c>
      <c r="E76" s="7">
        <v>80178.600000000006</v>
      </c>
      <c r="F76" s="7">
        <f>D76-E76</f>
        <v>-80178.600000000006</v>
      </c>
      <c r="G76" s="7">
        <v>80178.600000000006</v>
      </c>
      <c r="H76" s="7">
        <f>D76+G76</f>
        <v>80178.600000000006</v>
      </c>
      <c r="I76" s="1">
        <v>58650.06</v>
      </c>
      <c r="J76" s="1">
        <f>H76-I76</f>
        <v>21528.540000000008</v>
      </c>
      <c r="K76" s="1">
        <v>-21528.54</v>
      </c>
      <c r="L76" s="1">
        <f>H76+K76</f>
        <v>58650.060000000005</v>
      </c>
      <c r="M76" s="7">
        <f>75407.22-L76</f>
        <v>16757.159999999996</v>
      </c>
      <c r="N76" s="1">
        <f t="shared" si="60"/>
        <v>75407.22</v>
      </c>
      <c r="O76" s="1">
        <v>67028.639999999999</v>
      </c>
      <c r="P76" s="1">
        <f t="shared" si="61"/>
        <v>-8378.5800000000017</v>
      </c>
      <c r="Q76" s="1">
        <f t="shared" si="62"/>
        <v>67028.639999999999</v>
      </c>
      <c r="R76" s="1">
        <v>67028.639999999999</v>
      </c>
      <c r="S76" s="1">
        <f t="shared" si="63"/>
        <v>0</v>
      </c>
      <c r="T76" s="1">
        <f t="shared" si="64"/>
        <v>67028.639999999999</v>
      </c>
      <c r="U76" s="1">
        <v>33514.32</v>
      </c>
      <c r="V76" s="1">
        <f t="shared" si="65"/>
        <v>-33514.32</v>
      </c>
      <c r="W76" s="1">
        <f t="shared" si="66"/>
        <v>33514.32</v>
      </c>
      <c r="X76" s="1">
        <v>39606.51</v>
      </c>
      <c r="Y76" s="41">
        <f t="shared" si="67"/>
        <v>6092.1900000000023</v>
      </c>
      <c r="Z76" s="1">
        <f t="shared" si="68"/>
        <v>39606.51</v>
      </c>
      <c r="AA76" s="1">
        <v>42735.31</v>
      </c>
      <c r="AB76" s="1">
        <f t="shared" si="51"/>
        <v>3128.7999999999956</v>
      </c>
      <c r="AC76" s="1">
        <f t="shared" si="52"/>
        <v>42735.31</v>
      </c>
      <c r="AD76" s="41">
        <v>34701.56</v>
      </c>
      <c r="AE76" s="1">
        <f t="shared" si="58"/>
        <v>-8033.75</v>
      </c>
      <c r="AF76" s="1">
        <f t="shared" si="59"/>
        <v>34701.56</v>
      </c>
    </row>
    <row r="77" spans="1:32">
      <c r="A77" s="11">
        <v>92010</v>
      </c>
      <c r="B77" s="11">
        <v>12004</v>
      </c>
      <c r="C77" s="11" t="s">
        <v>212</v>
      </c>
      <c r="D77" s="7"/>
      <c r="E77" s="7"/>
      <c r="F77" s="7"/>
      <c r="G77" s="7"/>
      <c r="H77" s="7"/>
      <c r="I77" s="8"/>
      <c r="J77" s="7"/>
      <c r="K77" s="8"/>
      <c r="L77" s="7">
        <v>8378.58</v>
      </c>
      <c r="M77" s="7">
        <v>0</v>
      </c>
      <c r="N77" s="7">
        <f t="shared" si="60"/>
        <v>8378.58</v>
      </c>
      <c r="O77" s="7">
        <v>8378.58</v>
      </c>
      <c r="P77" s="1">
        <f t="shared" si="61"/>
        <v>0</v>
      </c>
      <c r="Q77" s="1">
        <f t="shared" si="62"/>
        <v>8378.58</v>
      </c>
      <c r="R77" s="1">
        <v>8378.58</v>
      </c>
      <c r="S77" s="1">
        <f t="shared" si="63"/>
        <v>0</v>
      </c>
      <c r="T77" s="1">
        <f t="shared" si="64"/>
        <v>8378.58</v>
      </c>
      <c r="U77" s="1">
        <v>8378.58</v>
      </c>
      <c r="V77" s="1">
        <f t="shared" si="65"/>
        <v>0</v>
      </c>
      <c r="W77" s="1">
        <f t="shared" si="66"/>
        <v>8378.58</v>
      </c>
      <c r="X77" s="1">
        <v>9148.8799999999992</v>
      </c>
      <c r="Y77" s="41">
        <f t="shared" si="67"/>
        <v>770.29999999999927</v>
      </c>
      <c r="Z77" s="1">
        <f t="shared" si="68"/>
        <v>9148.8799999999992</v>
      </c>
      <c r="AA77" s="1">
        <v>8547.08</v>
      </c>
      <c r="AB77" s="1">
        <f t="shared" si="51"/>
        <v>-601.79999999999927</v>
      </c>
      <c r="AC77" s="1">
        <f t="shared" si="52"/>
        <v>8547.08</v>
      </c>
      <c r="AD77" s="41">
        <v>8675.39</v>
      </c>
      <c r="AE77" s="1">
        <f t="shared" si="58"/>
        <v>128.30999999999949</v>
      </c>
      <c r="AF77" s="1">
        <f t="shared" si="59"/>
        <v>8675.39</v>
      </c>
    </row>
    <row r="78" spans="1:32">
      <c r="A78" s="11">
        <v>92400</v>
      </c>
      <c r="B78" s="11">
        <v>12004</v>
      </c>
      <c r="C78" s="11" t="s">
        <v>205</v>
      </c>
      <c r="D78" s="7">
        <v>0</v>
      </c>
      <c r="E78" s="7">
        <v>10042.44</v>
      </c>
      <c r="F78" s="7">
        <f>D78-E78</f>
        <v>-10042.44</v>
      </c>
      <c r="G78" s="7">
        <v>10042.44</v>
      </c>
      <c r="H78" s="7">
        <f>D78+G78</f>
        <v>10042.44</v>
      </c>
      <c r="I78" s="1">
        <v>8378.58</v>
      </c>
      <c r="J78" s="1">
        <f>H78-I78</f>
        <v>1663.8600000000006</v>
      </c>
      <c r="K78" s="1">
        <v>-1663.86</v>
      </c>
      <c r="L78" s="1">
        <f>H78+K78</f>
        <v>8378.58</v>
      </c>
      <c r="M78" s="7">
        <v>0</v>
      </c>
      <c r="N78" s="1">
        <f t="shared" si="60"/>
        <v>8378.58</v>
      </c>
      <c r="O78" s="1">
        <v>8378.58</v>
      </c>
      <c r="P78" s="1">
        <f t="shared" si="61"/>
        <v>0</v>
      </c>
      <c r="Q78" s="1">
        <f t="shared" si="62"/>
        <v>8378.58</v>
      </c>
      <c r="R78" s="1">
        <v>8378.58</v>
      </c>
      <c r="S78" s="1">
        <f t="shared" si="63"/>
        <v>0</v>
      </c>
      <c r="T78" s="1">
        <f t="shared" si="64"/>
        <v>8378.58</v>
      </c>
      <c r="U78" s="1">
        <v>8378.58</v>
      </c>
      <c r="V78" s="1">
        <f t="shared" si="65"/>
        <v>0</v>
      </c>
      <c r="W78" s="1">
        <f t="shared" si="66"/>
        <v>8378.58</v>
      </c>
      <c r="X78" s="1">
        <v>9161.75</v>
      </c>
      <c r="Y78" s="41">
        <f t="shared" si="67"/>
        <v>783.17000000000007</v>
      </c>
      <c r="Z78" s="1">
        <f t="shared" si="68"/>
        <v>9161.75</v>
      </c>
      <c r="AA78" s="1">
        <v>8547.08</v>
      </c>
      <c r="AB78" s="1">
        <f t="shared" si="51"/>
        <v>-614.67000000000007</v>
      </c>
      <c r="AC78" s="1">
        <f t="shared" si="52"/>
        <v>8547.08</v>
      </c>
      <c r="AD78" s="41">
        <v>8675.39</v>
      </c>
      <c r="AE78" s="1">
        <f t="shared" si="58"/>
        <v>128.30999999999949</v>
      </c>
      <c r="AF78" s="1">
        <f t="shared" si="59"/>
        <v>8675.39</v>
      </c>
    </row>
    <row r="79" spans="1:32">
      <c r="A79" s="11">
        <v>92900</v>
      </c>
      <c r="B79" s="11">
        <v>12004</v>
      </c>
      <c r="C79" s="11" t="s">
        <v>511</v>
      </c>
      <c r="D79" s="7">
        <v>0</v>
      </c>
      <c r="E79" s="7">
        <v>9100.08</v>
      </c>
      <c r="F79" s="7">
        <f>D79-E79</f>
        <v>-9100.08</v>
      </c>
      <c r="G79" s="7">
        <v>9100.08</v>
      </c>
      <c r="H79" s="7">
        <f>D79+G79</f>
        <v>9100.08</v>
      </c>
      <c r="I79" s="1">
        <v>8378.58</v>
      </c>
      <c r="J79" s="1">
        <f>H79-I79</f>
        <v>721.5</v>
      </c>
      <c r="K79" s="1">
        <v>-721.5</v>
      </c>
      <c r="L79" s="1">
        <f>H79+K79</f>
        <v>8378.58</v>
      </c>
      <c r="N79" s="1">
        <f t="shared" si="60"/>
        <v>8378.58</v>
      </c>
      <c r="O79" s="1">
        <v>8378.58</v>
      </c>
      <c r="P79" s="1">
        <f t="shared" si="61"/>
        <v>0</v>
      </c>
      <c r="Q79" s="1">
        <f t="shared" si="62"/>
        <v>8378.58</v>
      </c>
      <c r="R79" s="1">
        <v>8378.58</v>
      </c>
      <c r="S79" s="1">
        <f t="shared" si="63"/>
        <v>0</v>
      </c>
      <c r="T79" s="1">
        <f t="shared" si="64"/>
        <v>8378.58</v>
      </c>
      <c r="U79" s="1">
        <v>8378.58</v>
      </c>
      <c r="V79" s="1">
        <f t="shared" si="65"/>
        <v>0</v>
      </c>
      <c r="W79" s="1">
        <f t="shared" si="66"/>
        <v>8378.58</v>
      </c>
      <c r="X79" s="1">
        <v>8462.3700000000008</v>
      </c>
      <c r="Y79" s="41">
        <f t="shared" si="67"/>
        <v>83.790000000000873</v>
      </c>
      <c r="Z79" s="1">
        <f t="shared" si="68"/>
        <v>8462.3700000000008</v>
      </c>
      <c r="AA79" s="1">
        <v>8547.08</v>
      </c>
      <c r="AB79" s="1">
        <f t="shared" si="51"/>
        <v>84.709999999999127</v>
      </c>
      <c r="AC79" s="1">
        <f t="shared" si="52"/>
        <v>8547.08</v>
      </c>
      <c r="AD79" s="41">
        <v>8675.39</v>
      </c>
      <c r="AE79" s="1">
        <f t="shared" si="58"/>
        <v>128.30999999999949</v>
      </c>
      <c r="AF79" s="1">
        <f t="shared" si="59"/>
        <v>8675.39</v>
      </c>
    </row>
    <row r="80" spans="1:32">
      <c r="A80" s="11">
        <v>93100</v>
      </c>
      <c r="B80" s="11">
        <v>12004</v>
      </c>
      <c r="C80" s="11" t="s">
        <v>219</v>
      </c>
      <c r="D80" s="7">
        <v>0</v>
      </c>
      <c r="E80" s="7">
        <v>101143.38</v>
      </c>
      <c r="F80" s="7">
        <f>D80-E80</f>
        <v>-101143.38</v>
      </c>
      <c r="G80" s="7">
        <v>101143.38</v>
      </c>
      <c r="H80" s="7">
        <f>D80+G80</f>
        <v>101143.38</v>
      </c>
      <c r="I80" s="1">
        <v>62141.14</v>
      </c>
      <c r="J80" s="1">
        <f>H80-I80</f>
        <v>39002.240000000005</v>
      </c>
      <c r="K80" s="1">
        <v>-39002.239999999998</v>
      </c>
      <c r="L80" s="1">
        <f>H80+K80</f>
        <v>62141.140000000007</v>
      </c>
      <c r="M80" s="7">
        <f>67028.64-L80</f>
        <v>4887.4999999999927</v>
      </c>
      <c r="N80" s="1">
        <f t="shared" si="60"/>
        <v>67028.639999999999</v>
      </c>
      <c r="O80" s="1">
        <v>67028.639999999999</v>
      </c>
      <c r="P80" s="1">
        <f t="shared" si="61"/>
        <v>0</v>
      </c>
      <c r="Q80" s="1">
        <f t="shared" si="62"/>
        <v>67028.639999999999</v>
      </c>
      <c r="R80" s="1">
        <v>58650.06</v>
      </c>
      <c r="S80" s="1">
        <f t="shared" si="63"/>
        <v>-8378.5800000000017</v>
      </c>
      <c r="T80" s="1">
        <f t="shared" si="64"/>
        <v>58650.06</v>
      </c>
      <c r="U80" s="1">
        <v>83785.8</v>
      </c>
      <c r="V80" s="1">
        <f t="shared" si="65"/>
        <v>25135.740000000005</v>
      </c>
      <c r="W80" s="1">
        <f t="shared" si="66"/>
        <v>83785.8</v>
      </c>
      <c r="X80" s="1">
        <v>98767.98</v>
      </c>
      <c r="Y80" s="41">
        <f t="shared" si="67"/>
        <v>14982.179999999993</v>
      </c>
      <c r="Z80" s="1">
        <f t="shared" si="68"/>
        <v>98767.98</v>
      </c>
      <c r="AA80" s="1">
        <v>85470.62</v>
      </c>
      <c r="AB80" s="1">
        <f t="shared" si="51"/>
        <v>-13297.36</v>
      </c>
      <c r="AC80" s="1">
        <f t="shared" si="52"/>
        <v>85470.62</v>
      </c>
      <c r="AD80" s="41">
        <v>86753.9</v>
      </c>
      <c r="AE80" s="1">
        <f t="shared" si="58"/>
        <v>1283.2799999999988</v>
      </c>
      <c r="AF80" s="1">
        <f t="shared" si="59"/>
        <v>86753.9</v>
      </c>
    </row>
    <row r="81" spans="1:32">
      <c r="A81" s="11">
        <v>13000</v>
      </c>
      <c r="B81" s="11">
        <v>12005</v>
      </c>
      <c r="C81" s="42" t="s">
        <v>772</v>
      </c>
      <c r="D81" s="7">
        <v>0</v>
      </c>
      <c r="E81" s="7">
        <v>36193.870000000003</v>
      </c>
      <c r="F81" s="7">
        <f>D81-E81</f>
        <v>-36193.870000000003</v>
      </c>
      <c r="G81" s="7">
        <v>36193.870000000003</v>
      </c>
      <c r="H81" s="7">
        <f>D81+G81</f>
        <v>36193.870000000003</v>
      </c>
      <c r="I81" s="1">
        <v>33514.32</v>
      </c>
      <c r="J81" s="1">
        <f>H81-I81</f>
        <v>2679.5500000000029</v>
      </c>
      <c r="K81" s="1">
        <v>-2679.55</v>
      </c>
      <c r="L81" s="1">
        <f>H81+K81</f>
        <v>33514.32</v>
      </c>
      <c r="M81" s="7">
        <f>30714.32-L81</f>
        <v>-2800</v>
      </c>
      <c r="N81" s="1">
        <f t="shared" si="60"/>
        <v>30714.32</v>
      </c>
      <c r="O81" s="1">
        <v>30714.32</v>
      </c>
      <c r="P81" s="1">
        <f t="shared" si="61"/>
        <v>0</v>
      </c>
      <c r="Q81" s="1">
        <f t="shared" si="62"/>
        <v>30714.32</v>
      </c>
      <c r="R81" s="1">
        <v>23035.74</v>
      </c>
      <c r="S81" s="1">
        <f t="shared" si="63"/>
        <v>-7678.5799999999981</v>
      </c>
      <c r="T81" s="1">
        <f t="shared" si="64"/>
        <v>23035.74</v>
      </c>
      <c r="U81" s="1">
        <v>7678.58</v>
      </c>
      <c r="V81" s="1">
        <f t="shared" si="65"/>
        <v>-15357.160000000002</v>
      </c>
      <c r="W81" s="1">
        <f t="shared" si="66"/>
        <v>7678.58</v>
      </c>
      <c r="X81" s="1">
        <v>10471.040000000001</v>
      </c>
      <c r="Y81" s="41">
        <f t="shared" si="67"/>
        <v>2792.4600000000009</v>
      </c>
      <c r="Z81" s="1">
        <f t="shared" si="68"/>
        <v>10471.040000000001</v>
      </c>
      <c r="AA81" s="1">
        <v>7832.99</v>
      </c>
      <c r="AB81" s="1">
        <f t="shared" si="51"/>
        <v>-2638.0500000000011</v>
      </c>
      <c r="AC81" s="1">
        <f t="shared" si="52"/>
        <v>7832.99</v>
      </c>
      <c r="AD81" s="41">
        <v>7950.49</v>
      </c>
      <c r="AE81" s="1">
        <f t="shared" si="58"/>
        <v>117.5</v>
      </c>
      <c r="AF81" s="1">
        <f t="shared" si="59"/>
        <v>7950.49</v>
      </c>
    </row>
    <row r="82" spans="1:32">
      <c r="A82" s="11">
        <v>13200</v>
      </c>
      <c r="B82" s="11">
        <v>12005</v>
      </c>
      <c r="C82" s="42" t="s">
        <v>773</v>
      </c>
      <c r="D82" s="7"/>
      <c r="E82" s="7"/>
      <c r="F82" s="7"/>
      <c r="G82" s="7"/>
      <c r="H82" s="7"/>
      <c r="I82" s="1"/>
      <c r="J82" s="1"/>
      <c r="K82" s="1"/>
      <c r="L82" s="1"/>
      <c r="N82" s="1"/>
      <c r="O82" s="1"/>
      <c r="T82" s="1"/>
      <c r="U82" s="1">
        <v>23035.74</v>
      </c>
      <c r="V82" s="1">
        <f t="shared" si="65"/>
        <v>23035.74</v>
      </c>
      <c r="W82" s="1">
        <f t="shared" si="66"/>
        <v>23035.74</v>
      </c>
      <c r="X82" s="1">
        <v>23266.11</v>
      </c>
      <c r="Y82" s="41">
        <f t="shared" si="67"/>
        <v>230.36999999999898</v>
      </c>
      <c r="Z82" s="1">
        <f t="shared" si="68"/>
        <v>23266.11</v>
      </c>
      <c r="AA82" s="1">
        <v>23498.97</v>
      </c>
      <c r="AB82" s="1">
        <f t="shared" si="51"/>
        <v>232.86000000000058</v>
      </c>
      <c r="AC82" s="1">
        <f t="shared" si="52"/>
        <v>23498.97</v>
      </c>
      <c r="AD82" s="41">
        <v>31801.89</v>
      </c>
      <c r="AE82" s="1">
        <f t="shared" si="58"/>
        <v>8302.9199999999983</v>
      </c>
      <c r="AF82" s="1">
        <f t="shared" si="59"/>
        <v>31801.89</v>
      </c>
    </row>
    <row r="83" spans="1:32">
      <c r="A83" s="11">
        <v>13300</v>
      </c>
      <c r="B83" s="11">
        <v>12005</v>
      </c>
      <c r="C83" s="11" t="s">
        <v>694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7">
        <v>0</v>
      </c>
      <c r="R83" s="41">
        <v>23035.74</v>
      </c>
      <c r="S83" s="1">
        <f>R83-Q83</f>
        <v>23035.74</v>
      </c>
      <c r="T83" s="1">
        <f>Q83+S83</f>
        <v>23035.74</v>
      </c>
      <c r="U83" s="1">
        <v>30714.32</v>
      </c>
      <c r="V83" s="1">
        <f t="shared" si="65"/>
        <v>7678.5799999999981</v>
      </c>
      <c r="W83" s="1">
        <f t="shared" si="66"/>
        <v>30714.32</v>
      </c>
      <c r="X83" s="41">
        <v>23266.11</v>
      </c>
      <c r="Y83" s="41">
        <f t="shared" si="67"/>
        <v>-7448.2099999999991</v>
      </c>
      <c r="Z83" s="1">
        <f t="shared" si="68"/>
        <v>23266.11</v>
      </c>
      <c r="AA83" s="41">
        <v>31331.97</v>
      </c>
      <c r="AB83" s="41">
        <f t="shared" si="51"/>
        <v>8065.8600000000006</v>
      </c>
      <c r="AC83" s="1">
        <f t="shared" si="52"/>
        <v>31331.97</v>
      </c>
      <c r="AD83" s="41">
        <v>31801.96</v>
      </c>
      <c r="AE83" s="1">
        <f t="shared" si="58"/>
        <v>469.98999999999796</v>
      </c>
      <c r="AF83" s="1">
        <f t="shared" si="59"/>
        <v>31801.96</v>
      </c>
    </row>
    <row r="84" spans="1:32">
      <c r="A84" s="11">
        <v>15100</v>
      </c>
      <c r="B84" s="11">
        <v>12005</v>
      </c>
      <c r="C84" s="42" t="s">
        <v>677</v>
      </c>
      <c r="D84" s="7">
        <v>0</v>
      </c>
      <c r="E84" s="7">
        <v>27789.18</v>
      </c>
      <c r="F84" s="7">
        <f>D84-E84</f>
        <v>-27789.18</v>
      </c>
      <c r="G84" s="7">
        <v>27789.18</v>
      </c>
      <c r="H84" s="7">
        <f>D84+G84</f>
        <v>27789.18</v>
      </c>
      <c r="I84" s="1">
        <v>16057.16</v>
      </c>
      <c r="J84" s="1">
        <f>H84-I84</f>
        <v>11732.02</v>
      </c>
      <c r="K84" s="1">
        <v>-11732.02</v>
      </c>
      <c r="L84" s="1">
        <f>H84+K84</f>
        <v>16057.16</v>
      </c>
      <c r="M84" s="7">
        <f>7678.58-L84</f>
        <v>-8378.58</v>
      </c>
      <c r="N84" s="1">
        <f>L84+M84</f>
        <v>7678.58</v>
      </c>
      <c r="O84" s="1">
        <v>7678.58</v>
      </c>
      <c r="P84" s="1">
        <f>O84-N84</f>
        <v>0</v>
      </c>
      <c r="Q84" s="1">
        <f>N84+P84</f>
        <v>7678.58</v>
      </c>
      <c r="R84" s="1">
        <v>23035.74</v>
      </c>
      <c r="S84" s="1">
        <f>R84-Q84</f>
        <v>15357.160000000002</v>
      </c>
      <c r="T84" s="1">
        <f>Q84+S84</f>
        <v>23035.74</v>
      </c>
      <c r="U84" s="1">
        <v>15966.52</v>
      </c>
      <c r="V84" s="1">
        <f t="shared" si="65"/>
        <v>-7069.2200000000012</v>
      </c>
      <c r="W84" s="1">
        <f t="shared" si="66"/>
        <v>15966.52</v>
      </c>
      <c r="X84" s="1">
        <v>17436.18</v>
      </c>
      <c r="Y84" s="41">
        <f t="shared" si="67"/>
        <v>1469.6599999999999</v>
      </c>
      <c r="Z84" s="1">
        <f t="shared" si="68"/>
        <v>17436.18</v>
      </c>
      <c r="AA84" s="1">
        <v>16379.98</v>
      </c>
      <c r="AB84" s="1">
        <f t="shared" si="51"/>
        <v>-1056.2000000000007</v>
      </c>
      <c r="AC84" s="1">
        <f t="shared" si="52"/>
        <v>16379.98</v>
      </c>
      <c r="AD84" s="41">
        <v>0</v>
      </c>
      <c r="AE84" s="1">
        <f t="shared" si="58"/>
        <v>-16379.98</v>
      </c>
      <c r="AF84" s="1">
        <f t="shared" si="59"/>
        <v>0</v>
      </c>
    </row>
    <row r="85" spans="1:32">
      <c r="A85" s="13">
        <v>16400</v>
      </c>
      <c r="B85" s="11">
        <v>12005</v>
      </c>
      <c r="C85" s="42" t="s">
        <v>794</v>
      </c>
      <c r="D85" s="10">
        <v>0</v>
      </c>
      <c r="E85" s="7">
        <v>9068.64</v>
      </c>
      <c r="F85" s="7">
        <f>D85-E85</f>
        <v>-9068.64</v>
      </c>
      <c r="G85" s="7">
        <v>9068.64</v>
      </c>
      <c r="H85" s="7">
        <f>D85+G85</f>
        <v>9068.64</v>
      </c>
      <c r="I85" s="16">
        <v>8378.58</v>
      </c>
      <c r="J85" s="1">
        <f>H85-I85</f>
        <v>690.05999999999949</v>
      </c>
      <c r="K85" s="16">
        <v>-690.06</v>
      </c>
      <c r="L85" s="21">
        <f>H85+K85</f>
        <v>8378.58</v>
      </c>
      <c r="M85" s="10">
        <f>15357.16-L85</f>
        <v>6978.58</v>
      </c>
      <c r="N85" s="1">
        <f>L85+M85</f>
        <v>15357.16</v>
      </c>
      <c r="O85" s="1">
        <v>15357.16</v>
      </c>
      <c r="P85" s="1">
        <f>O85-N85</f>
        <v>0</v>
      </c>
      <c r="Q85" s="1">
        <f>N85+P85</f>
        <v>15357.16</v>
      </c>
      <c r="R85" s="41">
        <v>15357.16</v>
      </c>
      <c r="S85" s="1">
        <f>R85-Q85</f>
        <v>0</v>
      </c>
      <c r="T85" s="1">
        <f>Q85+S85</f>
        <v>15357.16</v>
      </c>
      <c r="U85" s="41">
        <v>23035.74</v>
      </c>
      <c r="V85" s="1">
        <f t="shared" si="65"/>
        <v>7678.5800000000017</v>
      </c>
      <c r="W85" s="1">
        <f t="shared" si="66"/>
        <v>23035.74</v>
      </c>
      <c r="X85" s="41">
        <v>24500.639999999999</v>
      </c>
      <c r="Y85" s="41">
        <f t="shared" si="67"/>
        <v>1464.8999999999978</v>
      </c>
      <c r="Z85" s="1">
        <f t="shared" si="68"/>
        <v>24500.639999999999</v>
      </c>
      <c r="AA85" s="41">
        <v>27415.43</v>
      </c>
      <c r="AB85" s="1">
        <f t="shared" si="51"/>
        <v>2914.7900000000009</v>
      </c>
      <c r="AC85" s="1">
        <f t="shared" si="52"/>
        <v>27415.43</v>
      </c>
      <c r="AD85" s="41">
        <v>23851.47</v>
      </c>
      <c r="AE85" s="1">
        <f t="shared" si="58"/>
        <v>-3563.9599999999991</v>
      </c>
      <c r="AF85" s="1">
        <f t="shared" si="59"/>
        <v>23851.47</v>
      </c>
    </row>
    <row r="86" spans="1:32">
      <c r="A86" s="13">
        <v>16500</v>
      </c>
      <c r="B86" s="11">
        <v>12005</v>
      </c>
      <c r="C86" s="11" t="s">
        <v>661</v>
      </c>
      <c r="D86" s="7"/>
      <c r="E86" s="7"/>
      <c r="F86" s="7"/>
      <c r="G86" s="7"/>
      <c r="H86" s="10"/>
      <c r="I86" s="16"/>
      <c r="J86" s="16"/>
      <c r="K86" s="16"/>
      <c r="L86" s="1"/>
      <c r="M86" s="10"/>
      <c r="N86" s="1">
        <v>0</v>
      </c>
      <c r="O86" s="1">
        <v>7678.58</v>
      </c>
      <c r="P86" s="1">
        <f>O86-N86</f>
        <v>7678.58</v>
      </c>
      <c r="Q86" s="1">
        <f>N86+P86</f>
        <v>7678.58</v>
      </c>
      <c r="R86" s="41">
        <v>23035.74</v>
      </c>
      <c r="S86" s="1">
        <f>R86-Q86</f>
        <v>15357.160000000002</v>
      </c>
      <c r="T86" s="1">
        <f>Q86+S86</f>
        <v>23035.74</v>
      </c>
      <c r="U86" s="41">
        <v>23035.74</v>
      </c>
      <c r="V86" s="1">
        <f t="shared" si="65"/>
        <v>0</v>
      </c>
      <c r="W86" s="1">
        <f t="shared" si="66"/>
        <v>23035.74</v>
      </c>
      <c r="X86" s="41">
        <v>23960.07</v>
      </c>
      <c r="Y86" s="41">
        <f t="shared" si="67"/>
        <v>924.32999999999811</v>
      </c>
      <c r="Z86" s="1">
        <f t="shared" si="68"/>
        <v>23960.07</v>
      </c>
      <c r="AA86" s="41">
        <v>23498.97</v>
      </c>
      <c r="AB86" s="1">
        <f t="shared" si="51"/>
        <v>-461.09999999999854</v>
      </c>
      <c r="AC86" s="1">
        <f t="shared" si="52"/>
        <v>23498.97</v>
      </c>
      <c r="AD86" s="41">
        <v>23851.47</v>
      </c>
      <c r="AE86" s="1">
        <f t="shared" si="58"/>
        <v>352.5</v>
      </c>
      <c r="AF86" s="1">
        <f t="shared" si="59"/>
        <v>23851.47</v>
      </c>
    </row>
    <row r="87" spans="1:32">
      <c r="A87" s="42">
        <v>17000</v>
      </c>
      <c r="B87" s="11">
        <v>12005</v>
      </c>
      <c r="C87" s="39" t="s">
        <v>942</v>
      </c>
      <c r="D87" s="7"/>
      <c r="E87" s="7"/>
      <c r="F87" s="7"/>
      <c r="G87" s="7"/>
      <c r="H87" s="7"/>
      <c r="I87" s="16"/>
      <c r="J87" s="1"/>
      <c r="K87" s="16"/>
      <c r="L87" s="1"/>
      <c r="M87" s="10"/>
      <c r="N87" s="1"/>
      <c r="O87" s="1"/>
      <c r="R87" s="41"/>
      <c r="T87" s="1"/>
      <c r="U87" s="41"/>
      <c r="V87" s="1"/>
      <c r="W87" s="1"/>
      <c r="X87" s="41"/>
      <c r="Y87" s="41"/>
      <c r="Z87" s="1"/>
      <c r="AA87" s="41"/>
      <c r="AB87" s="1"/>
      <c r="AC87" s="1">
        <v>0</v>
      </c>
      <c r="AD87" s="41">
        <v>15900.91</v>
      </c>
      <c r="AE87" s="1">
        <f t="shared" si="58"/>
        <v>15900.91</v>
      </c>
      <c r="AF87" s="1">
        <f t="shared" si="59"/>
        <v>15900.91</v>
      </c>
    </row>
    <row r="88" spans="1:32">
      <c r="A88" s="13">
        <v>17100</v>
      </c>
      <c r="B88" s="11">
        <v>12005</v>
      </c>
      <c r="C88" s="11" t="s">
        <v>152</v>
      </c>
      <c r="D88" s="7">
        <v>0</v>
      </c>
      <c r="E88" s="7">
        <v>9337.66</v>
      </c>
      <c r="F88" s="7">
        <f>D88-E88</f>
        <v>-9337.66</v>
      </c>
      <c r="G88" s="7">
        <v>9337.66</v>
      </c>
      <c r="H88" s="7">
        <f>D88+G88</f>
        <v>9337.66</v>
      </c>
      <c r="I88" s="16">
        <v>16757.16</v>
      </c>
      <c r="J88" s="16">
        <f>H88-I88</f>
        <v>-7419.5</v>
      </c>
      <c r="K88" s="16">
        <v>7419.5</v>
      </c>
      <c r="L88" s="16">
        <f>H88+K88</f>
        <v>16757.16</v>
      </c>
      <c r="M88" s="10">
        <f>15357.16-L88</f>
        <v>-1400</v>
      </c>
      <c r="N88" s="1">
        <f>L88+M88</f>
        <v>15357.16</v>
      </c>
      <c r="O88" s="1">
        <v>15357.16</v>
      </c>
      <c r="P88" s="1">
        <f>O88-N88</f>
        <v>0</v>
      </c>
      <c r="Q88" s="1">
        <f>N88+P88</f>
        <v>15357.16</v>
      </c>
      <c r="R88" s="41">
        <v>69107.22</v>
      </c>
      <c r="S88" s="1">
        <f t="shared" ref="S88:S117" si="69">R88-Q88</f>
        <v>53750.06</v>
      </c>
      <c r="T88" s="1">
        <f t="shared" ref="T88:T117" si="70">Q88+S88</f>
        <v>69107.22</v>
      </c>
      <c r="U88" s="41">
        <v>76785.8</v>
      </c>
      <c r="V88" s="1">
        <f t="shared" ref="V88:V117" si="71">U88-T88</f>
        <v>7678.5800000000017</v>
      </c>
      <c r="W88" s="1">
        <f t="shared" ref="W88:W117" si="72">T88+V88</f>
        <v>76785.8</v>
      </c>
      <c r="X88" s="41">
        <v>78959.600000000006</v>
      </c>
      <c r="Y88" s="41">
        <f t="shared" ref="Y88:Y117" si="73">X88-W88</f>
        <v>2173.8000000000029</v>
      </c>
      <c r="Z88" s="1">
        <f t="shared" ref="Z88:Z117" si="74">W88+Y88</f>
        <v>78959.600000000006</v>
      </c>
      <c r="AA88" s="41">
        <v>78329.84</v>
      </c>
      <c r="AB88" s="1">
        <f t="shared" ref="AB88:AB119" si="75">AA88-Z88</f>
        <v>-629.76000000000931</v>
      </c>
      <c r="AC88" s="1">
        <f t="shared" ref="AC88:AC119" si="76">Z88+AB88</f>
        <v>78329.84</v>
      </c>
      <c r="AD88" s="41">
        <v>79504.899999999994</v>
      </c>
      <c r="AE88" s="1">
        <f t="shared" si="58"/>
        <v>1175.0599999999977</v>
      </c>
      <c r="AF88" s="1">
        <f t="shared" si="59"/>
        <v>79504.899999999994</v>
      </c>
    </row>
    <row r="89" spans="1:32">
      <c r="A89" s="13">
        <v>23110</v>
      </c>
      <c r="B89" s="11">
        <v>12005</v>
      </c>
      <c r="C89" s="42" t="s">
        <v>680</v>
      </c>
      <c r="D89" s="8"/>
      <c r="E89" s="8"/>
      <c r="F89" s="8"/>
      <c r="G89" s="8"/>
      <c r="H89" s="8"/>
      <c r="I89" s="8"/>
      <c r="J89" s="8"/>
      <c r="K89" s="8"/>
      <c r="L89" s="10">
        <v>25135.74</v>
      </c>
      <c r="M89" s="10">
        <f>15357.16-L89</f>
        <v>-9778.5800000000017</v>
      </c>
      <c r="N89" s="7">
        <f>L89+M89</f>
        <v>15357.16</v>
      </c>
      <c r="O89" s="7">
        <v>15357.16</v>
      </c>
      <c r="P89" s="1">
        <f>O89-N89</f>
        <v>0</v>
      </c>
      <c r="Q89" s="1">
        <f>N89+P89</f>
        <v>15357.16</v>
      </c>
      <c r="R89" s="41">
        <v>46071.48</v>
      </c>
      <c r="S89" s="1">
        <f t="shared" si="69"/>
        <v>30714.320000000003</v>
      </c>
      <c r="T89" s="1">
        <f t="shared" si="70"/>
        <v>46071.48</v>
      </c>
      <c r="U89" s="41">
        <v>53750.06</v>
      </c>
      <c r="V89" s="1">
        <f t="shared" si="71"/>
        <v>7678.5799999999945</v>
      </c>
      <c r="W89" s="1">
        <f t="shared" si="72"/>
        <v>53750.06</v>
      </c>
      <c r="X89" s="41">
        <v>40040.269999999997</v>
      </c>
      <c r="Y89" s="41">
        <f t="shared" si="73"/>
        <v>-13709.79</v>
      </c>
      <c r="Z89" s="1">
        <f t="shared" si="74"/>
        <v>40040.269999999997</v>
      </c>
      <c r="AA89" s="41">
        <v>31331.96</v>
      </c>
      <c r="AB89" s="41">
        <f t="shared" si="75"/>
        <v>-8708.3099999999977</v>
      </c>
      <c r="AC89" s="1">
        <f t="shared" si="76"/>
        <v>31331.96</v>
      </c>
      <c r="AD89" s="41">
        <v>39752.449999999997</v>
      </c>
      <c r="AE89" s="1">
        <f t="shared" si="58"/>
        <v>8420.489999999998</v>
      </c>
      <c r="AF89" s="1">
        <f t="shared" si="59"/>
        <v>39752.449999999997</v>
      </c>
    </row>
    <row r="90" spans="1:32">
      <c r="A90" s="42">
        <v>23113</v>
      </c>
      <c r="B90" s="11">
        <v>12005</v>
      </c>
      <c r="C90" s="42" t="s">
        <v>854</v>
      </c>
      <c r="D90" s="7">
        <v>0</v>
      </c>
      <c r="E90" s="7">
        <v>18124.28</v>
      </c>
      <c r="F90" s="7">
        <f>D90-E90</f>
        <v>-18124.28</v>
      </c>
      <c r="G90" s="7">
        <v>18124.28</v>
      </c>
      <c r="H90" s="7">
        <f>D90+G90</f>
        <v>18124.28</v>
      </c>
      <c r="I90" s="7">
        <v>136151.93</v>
      </c>
      <c r="J90" s="7">
        <f>H90-I90</f>
        <v>-118027.65</v>
      </c>
      <c r="K90" s="7">
        <v>118027.65</v>
      </c>
      <c r="L90" s="7">
        <v>136151.93</v>
      </c>
      <c r="M90" s="7">
        <f>92142.96-L90</f>
        <v>-44008.969999999987</v>
      </c>
      <c r="N90" s="7">
        <f>L90+M90</f>
        <v>92142.96</v>
      </c>
      <c r="O90" s="7">
        <v>99821.54</v>
      </c>
      <c r="P90" s="1">
        <f>O90-N90</f>
        <v>7678.5799999999872</v>
      </c>
      <c r="Q90" s="1">
        <f>N90+P90</f>
        <v>99821.54</v>
      </c>
      <c r="R90" s="41">
        <v>145893.01999999999</v>
      </c>
      <c r="S90" s="1">
        <f t="shared" si="69"/>
        <v>46071.479999999996</v>
      </c>
      <c r="T90" s="1">
        <f t="shared" si="70"/>
        <v>145893.01999999999</v>
      </c>
      <c r="U90" s="41">
        <v>145893.01999999999</v>
      </c>
      <c r="V90" s="1">
        <f t="shared" si="71"/>
        <v>0</v>
      </c>
      <c r="W90" s="1">
        <f t="shared" si="72"/>
        <v>145893.01999999999</v>
      </c>
      <c r="X90" s="41">
        <v>168288.28</v>
      </c>
      <c r="Y90" s="41">
        <f t="shared" si="73"/>
        <v>22395.260000000009</v>
      </c>
      <c r="Z90" s="1">
        <f t="shared" si="74"/>
        <v>168288.28</v>
      </c>
      <c r="AA90" s="41">
        <v>156648.5</v>
      </c>
      <c r="AB90" s="41">
        <f t="shared" si="75"/>
        <v>-11639.779999999999</v>
      </c>
      <c r="AC90" s="1">
        <f t="shared" si="76"/>
        <v>156648.5</v>
      </c>
      <c r="AD90" s="41">
        <v>166960.06</v>
      </c>
      <c r="AE90" s="1">
        <f t="shared" si="58"/>
        <v>10311.559999999998</v>
      </c>
      <c r="AF90" s="1">
        <f t="shared" si="59"/>
        <v>166960.06</v>
      </c>
    </row>
    <row r="91" spans="1:32">
      <c r="A91" s="11">
        <v>32000</v>
      </c>
      <c r="B91" s="11">
        <v>12005</v>
      </c>
      <c r="C91" s="11" t="s">
        <v>681</v>
      </c>
      <c r="D91" s="7">
        <v>0</v>
      </c>
      <c r="E91" s="7">
        <v>36489.78</v>
      </c>
      <c r="F91" s="7">
        <f>D91-E91</f>
        <v>-36489.78</v>
      </c>
      <c r="G91" s="7">
        <v>36489.78</v>
      </c>
      <c r="H91" s="7">
        <f>D91+G91</f>
        <v>36489.78</v>
      </c>
      <c r="I91" s="1">
        <v>77501.87</v>
      </c>
      <c r="J91" s="1">
        <f>H91-I91</f>
        <v>-41012.089999999997</v>
      </c>
      <c r="K91" s="1">
        <v>41012.089999999997</v>
      </c>
      <c r="L91" s="1">
        <f>H91+K91</f>
        <v>77501.87</v>
      </c>
      <c r="M91" s="7">
        <f>53750.06-L91</f>
        <v>-23751.809999999998</v>
      </c>
      <c r="N91" s="1">
        <f>L91+M91</f>
        <v>53750.06</v>
      </c>
      <c r="O91" s="1">
        <v>61428.639999999999</v>
      </c>
      <c r="P91" s="1">
        <f>O91-N91</f>
        <v>7678.5800000000017</v>
      </c>
      <c r="Q91" s="1">
        <f>N91+P91</f>
        <v>61428.639999999999</v>
      </c>
      <c r="R91" s="41">
        <v>76785.8</v>
      </c>
      <c r="S91" s="1">
        <f t="shared" si="69"/>
        <v>15357.160000000003</v>
      </c>
      <c r="T91" s="1">
        <f t="shared" si="70"/>
        <v>76785.8</v>
      </c>
      <c r="U91" s="41">
        <v>207321.36</v>
      </c>
      <c r="V91" s="1">
        <f t="shared" si="71"/>
        <v>130535.55999999998</v>
      </c>
      <c r="W91" s="1">
        <f t="shared" si="72"/>
        <v>207321.36</v>
      </c>
      <c r="X91" s="41">
        <v>238168.17</v>
      </c>
      <c r="Y91" s="41">
        <f t="shared" si="73"/>
        <v>30846.810000000027</v>
      </c>
      <c r="Z91" s="1">
        <f t="shared" si="74"/>
        <v>238168.17</v>
      </c>
      <c r="AA91" s="41">
        <v>266321.36</v>
      </c>
      <c r="AB91" s="41">
        <f t="shared" si="75"/>
        <v>28153.189999999973</v>
      </c>
      <c r="AC91" s="1">
        <f t="shared" si="76"/>
        <v>266321.36</v>
      </c>
      <c r="AD91" s="41">
        <v>278267.08</v>
      </c>
      <c r="AE91" s="1">
        <f t="shared" si="58"/>
        <v>11945.72000000003</v>
      </c>
      <c r="AF91" s="1">
        <f t="shared" si="59"/>
        <v>278267.08</v>
      </c>
    </row>
    <row r="92" spans="1:32">
      <c r="A92" s="11">
        <v>33400</v>
      </c>
      <c r="B92" s="11">
        <v>12005</v>
      </c>
      <c r="C92" s="42" t="s">
        <v>682</v>
      </c>
      <c r="D92" s="7"/>
      <c r="E92" s="7"/>
      <c r="F92" s="7"/>
      <c r="G92" s="7"/>
      <c r="H92" s="7"/>
      <c r="I92" s="16"/>
      <c r="J92" s="1"/>
      <c r="K92" s="1"/>
      <c r="L92" s="1"/>
      <c r="N92" s="1"/>
      <c r="O92" s="1"/>
      <c r="Q92" s="1">
        <v>0</v>
      </c>
      <c r="R92" s="1">
        <v>7678.58</v>
      </c>
      <c r="S92" s="1">
        <f t="shared" si="69"/>
        <v>7678.58</v>
      </c>
      <c r="T92" s="1">
        <f t="shared" si="70"/>
        <v>7678.58</v>
      </c>
      <c r="U92" s="1">
        <v>15357.16</v>
      </c>
      <c r="V92" s="1">
        <f t="shared" si="71"/>
        <v>7678.58</v>
      </c>
      <c r="W92" s="1">
        <f t="shared" si="72"/>
        <v>15357.16</v>
      </c>
      <c r="X92" s="1">
        <v>15510.74</v>
      </c>
      <c r="Y92" s="41">
        <f t="shared" si="73"/>
        <v>153.57999999999993</v>
      </c>
      <c r="Z92" s="1">
        <f t="shared" si="74"/>
        <v>15510.74</v>
      </c>
      <c r="AA92" s="1">
        <v>7832.99</v>
      </c>
      <c r="AB92" s="1">
        <f t="shared" si="75"/>
        <v>-7677.75</v>
      </c>
      <c r="AC92" s="1">
        <f t="shared" si="76"/>
        <v>7832.99</v>
      </c>
      <c r="AD92" s="41">
        <v>0</v>
      </c>
      <c r="AE92" s="1">
        <f t="shared" si="58"/>
        <v>-7832.99</v>
      </c>
      <c r="AF92" s="1">
        <f t="shared" si="59"/>
        <v>0</v>
      </c>
    </row>
    <row r="93" spans="1:32">
      <c r="A93" s="11">
        <v>33600</v>
      </c>
      <c r="B93" s="11">
        <v>12005</v>
      </c>
      <c r="C93" s="42" t="s">
        <v>681</v>
      </c>
      <c r="D93" s="7">
        <v>0</v>
      </c>
      <c r="E93" s="7">
        <v>72542.240000000005</v>
      </c>
      <c r="F93" s="7">
        <f>D93-E93</f>
        <v>-72542.240000000005</v>
      </c>
      <c r="G93" s="7">
        <v>72542.240000000005</v>
      </c>
      <c r="H93" s="7">
        <f>D93+G93</f>
        <v>72542.240000000005</v>
      </c>
      <c r="I93" s="1">
        <v>147218.94</v>
      </c>
      <c r="J93" s="1">
        <f>H93-I93</f>
        <v>-74676.7</v>
      </c>
      <c r="K93" s="1">
        <v>74676.7</v>
      </c>
      <c r="L93" s="1">
        <f>H93+K93</f>
        <v>147218.94</v>
      </c>
      <c r="M93" s="7">
        <f>69107.22-L93</f>
        <v>-78111.72</v>
      </c>
      <c r="N93" s="1">
        <f>L93+M93</f>
        <v>69107.22</v>
      </c>
      <c r="O93" s="1">
        <v>69107.22</v>
      </c>
      <c r="P93" s="1">
        <f>O93-N93</f>
        <v>0</v>
      </c>
      <c r="Q93" s="1">
        <f>N93+P93</f>
        <v>69107.22</v>
      </c>
      <c r="R93" s="41">
        <v>76785.8</v>
      </c>
      <c r="S93" s="1">
        <f t="shared" si="69"/>
        <v>7678.5800000000017</v>
      </c>
      <c r="T93" s="1">
        <f t="shared" si="70"/>
        <v>76785.8</v>
      </c>
      <c r="U93" s="41">
        <v>69107.22</v>
      </c>
      <c r="V93" s="1">
        <f t="shared" si="71"/>
        <v>-7678.5800000000017</v>
      </c>
      <c r="W93" s="1">
        <f t="shared" si="72"/>
        <v>69107.22</v>
      </c>
      <c r="X93" s="41">
        <v>82131.23</v>
      </c>
      <c r="Y93" s="41">
        <f t="shared" si="73"/>
        <v>13024.009999999995</v>
      </c>
      <c r="Z93" s="1">
        <f t="shared" si="74"/>
        <v>82131.23</v>
      </c>
      <c r="AA93" s="41">
        <v>86162.65</v>
      </c>
      <c r="AB93" s="1">
        <f t="shared" si="75"/>
        <v>4031.4199999999983</v>
      </c>
      <c r="AC93" s="1">
        <f t="shared" si="76"/>
        <v>86162.65</v>
      </c>
      <c r="AD93" s="41">
        <v>87455.39</v>
      </c>
      <c r="AE93" s="1">
        <f t="shared" si="58"/>
        <v>1292.7400000000052</v>
      </c>
      <c r="AF93" s="1">
        <f t="shared" si="59"/>
        <v>87455.39</v>
      </c>
    </row>
    <row r="94" spans="1:32">
      <c r="A94" s="11">
        <v>33710</v>
      </c>
      <c r="B94" s="11">
        <v>12005</v>
      </c>
      <c r="C94" s="11" t="s">
        <v>601</v>
      </c>
      <c r="D94" s="7"/>
      <c r="E94" s="7"/>
      <c r="F94" s="7"/>
      <c r="G94" s="7"/>
      <c r="H94" s="7"/>
      <c r="I94" s="7"/>
      <c r="J94" s="7"/>
      <c r="K94" s="7"/>
      <c r="L94" s="7"/>
      <c r="N94" s="7"/>
      <c r="O94" s="7"/>
      <c r="Q94" s="1">
        <v>0</v>
      </c>
      <c r="R94" s="1">
        <v>15357.16</v>
      </c>
      <c r="S94" s="1">
        <f t="shared" si="69"/>
        <v>15357.16</v>
      </c>
      <c r="T94" s="1">
        <f t="shared" si="70"/>
        <v>15357.16</v>
      </c>
      <c r="U94" s="1">
        <v>15357.16</v>
      </c>
      <c r="V94" s="1">
        <f t="shared" si="71"/>
        <v>0</v>
      </c>
      <c r="W94" s="1">
        <f t="shared" si="72"/>
        <v>15357.16</v>
      </c>
      <c r="X94" s="1">
        <v>15510.74</v>
      </c>
      <c r="Y94" s="41">
        <f t="shared" si="73"/>
        <v>153.57999999999993</v>
      </c>
      <c r="Z94" s="1">
        <f t="shared" si="74"/>
        <v>15510.74</v>
      </c>
      <c r="AA94" s="1">
        <v>23498.97</v>
      </c>
      <c r="AB94" s="1">
        <f t="shared" si="75"/>
        <v>7988.2300000000014</v>
      </c>
      <c r="AC94" s="1">
        <f t="shared" si="76"/>
        <v>23498.97</v>
      </c>
      <c r="AD94" s="41">
        <v>23851.47</v>
      </c>
      <c r="AE94" s="1">
        <f t="shared" si="58"/>
        <v>352.5</v>
      </c>
      <c r="AF94" s="1">
        <f t="shared" si="59"/>
        <v>23851.47</v>
      </c>
    </row>
    <row r="95" spans="1:32">
      <c r="A95" s="11">
        <v>34000</v>
      </c>
      <c r="B95" s="11">
        <v>12005</v>
      </c>
      <c r="C95" s="42" t="s">
        <v>684</v>
      </c>
      <c r="D95" s="7">
        <v>0</v>
      </c>
      <c r="E95" s="7">
        <v>9095.5400000000009</v>
      </c>
      <c r="F95" s="7">
        <f>D95-E95</f>
        <v>-9095.5400000000009</v>
      </c>
      <c r="G95" s="7">
        <v>9095.5400000000009</v>
      </c>
      <c r="H95" s="7">
        <f>D95+G95</f>
        <v>9095.5400000000009</v>
      </c>
      <c r="I95" s="16">
        <v>16757.16</v>
      </c>
      <c r="J95" s="16">
        <f>H95-I95</f>
        <v>-7661.619999999999</v>
      </c>
      <c r="K95" s="16">
        <v>7661.62</v>
      </c>
      <c r="L95" s="1">
        <f>H95+K95</f>
        <v>16757.16</v>
      </c>
      <c r="M95" s="7">
        <f>36765.74-L95</f>
        <v>20008.579999999998</v>
      </c>
      <c r="N95" s="1">
        <f>L95+M95</f>
        <v>36765.74</v>
      </c>
      <c r="O95" s="1">
        <v>15357.16</v>
      </c>
      <c r="P95" s="1">
        <f>O95-N95</f>
        <v>-21408.579999999998</v>
      </c>
      <c r="Q95" s="1">
        <f>N95+P95</f>
        <v>15357.16</v>
      </c>
      <c r="R95" s="1">
        <v>38392.9</v>
      </c>
      <c r="S95" s="1">
        <f t="shared" si="69"/>
        <v>23035.74</v>
      </c>
      <c r="T95" s="1">
        <f t="shared" si="70"/>
        <v>38392.9</v>
      </c>
      <c r="U95" s="1">
        <v>38392.9</v>
      </c>
      <c r="V95" s="1">
        <f t="shared" si="71"/>
        <v>0</v>
      </c>
      <c r="W95" s="1">
        <f t="shared" si="72"/>
        <v>38392.9</v>
      </c>
      <c r="X95" s="1">
        <v>39591.379999999997</v>
      </c>
      <c r="Y95" s="41">
        <f t="shared" si="73"/>
        <v>1198.4799999999959</v>
      </c>
      <c r="Z95" s="1">
        <f t="shared" si="74"/>
        <v>39591.379999999997</v>
      </c>
      <c r="AA95" s="1">
        <v>23498.91</v>
      </c>
      <c r="AB95" s="1">
        <f t="shared" si="75"/>
        <v>-16092.469999999998</v>
      </c>
      <c r="AC95" s="1">
        <f t="shared" si="76"/>
        <v>23498.91</v>
      </c>
      <c r="AD95" s="41">
        <v>31801.96</v>
      </c>
      <c r="AE95" s="1">
        <f t="shared" si="58"/>
        <v>8303.0499999999993</v>
      </c>
      <c r="AF95" s="1">
        <f t="shared" si="59"/>
        <v>31801.96</v>
      </c>
    </row>
    <row r="96" spans="1:32">
      <c r="A96" s="11">
        <v>45900</v>
      </c>
      <c r="B96" s="11">
        <v>12005</v>
      </c>
      <c r="C96" s="11" t="s">
        <v>601</v>
      </c>
      <c r="D96" s="7"/>
      <c r="E96" s="7"/>
      <c r="F96" s="7"/>
      <c r="G96" s="7"/>
      <c r="H96" s="7">
        <v>0</v>
      </c>
      <c r="I96" s="1">
        <v>16057.16</v>
      </c>
      <c r="J96" s="1">
        <f>H96-I96</f>
        <v>-16057.16</v>
      </c>
      <c r="K96" s="1">
        <v>16057.16</v>
      </c>
      <c r="L96" s="1">
        <f>H96+K96</f>
        <v>16057.16</v>
      </c>
      <c r="M96" s="7">
        <f>23035.74-L96</f>
        <v>6978.5800000000017</v>
      </c>
      <c r="N96" s="1">
        <f>L96+M96</f>
        <v>23035.74</v>
      </c>
      <c r="O96" s="1">
        <v>23035.74</v>
      </c>
      <c r="P96" s="1">
        <f>O96-N96</f>
        <v>0</v>
      </c>
      <c r="Q96" s="1">
        <f>N96+P96</f>
        <v>23035.74</v>
      </c>
      <c r="R96" s="41">
        <v>46071.48</v>
      </c>
      <c r="S96" s="1">
        <f t="shared" si="69"/>
        <v>23035.74</v>
      </c>
      <c r="T96" s="1">
        <f t="shared" si="70"/>
        <v>46071.48</v>
      </c>
      <c r="U96" s="41">
        <v>69107.22</v>
      </c>
      <c r="V96" s="1">
        <f t="shared" si="71"/>
        <v>23035.739999999998</v>
      </c>
      <c r="W96" s="1">
        <f t="shared" si="72"/>
        <v>69107.22</v>
      </c>
      <c r="X96" s="41">
        <v>54287.6</v>
      </c>
      <c r="Y96" s="41">
        <f t="shared" si="73"/>
        <v>-14819.620000000003</v>
      </c>
      <c r="Z96" s="1">
        <f t="shared" si="74"/>
        <v>54287.6</v>
      </c>
      <c r="AA96" s="41">
        <v>54830.69</v>
      </c>
      <c r="AB96" s="41">
        <f t="shared" si="75"/>
        <v>543.09000000000378</v>
      </c>
      <c r="AC96" s="1">
        <f t="shared" si="76"/>
        <v>54830.69</v>
      </c>
      <c r="AD96" s="41">
        <v>55653.37</v>
      </c>
      <c r="AE96" s="1">
        <f t="shared" si="58"/>
        <v>822.68000000000029</v>
      </c>
      <c r="AF96" s="1">
        <f t="shared" si="59"/>
        <v>55653.37</v>
      </c>
    </row>
    <row r="97" spans="1:32">
      <c r="A97" s="11">
        <v>13000</v>
      </c>
      <c r="B97" s="11">
        <v>12006</v>
      </c>
      <c r="C97" s="11" t="s">
        <v>81</v>
      </c>
      <c r="D97" s="7">
        <v>0</v>
      </c>
      <c r="E97" s="7">
        <v>19812.12</v>
      </c>
      <c r="F97" s="7">
        <f>D97-E97</f>
        <v>-19812.12</v>
      </c>
      <c r="G97" s="7">
        <v>19812.12</v>
      </c>
      <c r="H97" s="7">
        <f>D97+G97</f>
        <v>19812.12</v>
      </c>
      <c r="I97" s="1">
        <v>26064.560000000001</v>
      </c>
      <c r="J97" s="1">
        <f>H97-I97</f>
        <v>-6252.4400000000023</v>
      </c>
      <c r="K97" s="1">
        <v>6252.44</v>
      </c>
      <c r="L97" s="1">
        <f>H97+K97</f>
        <v>26064.559999999998</v>
      </c>
      <c r="M97" s="7">
        <f>27327.84-L97</f>
        <v>1263.2800000000025</v>
      </c>
      <c r="N97" s="1">
        <f>L97+M97</f>
        <v>27327.84</v>
      </c>
      <c r="O97" s="1">
        <v>28972.5</v>
      </c>
      <c r="P97" s="1">
        <f>O97-N97</f>
        <v>1644.6599999999999</v>
      </c>
      <c r="Q97" s="1">
        <f>N97+P97</f>
        <v>28972.5</v>
      </c>
      <c r="R97" s="1">
        <v>28732.51</v>
      </c>
      <c r="S97" s="1">
        <f t="shared" si="69"/>
        <v>-239.9900000000016</v>
      </c>
      <c r="T97" s="1">
        <f t="shared" si="70"/>
        <v>28732.51</v>
      </c>
      <c r="U97" s="1">
        <v>32366.49</v>
      </c>
      <c r="V97" s="1">
        <f t="shared" si="71"/>
        <v>3633.9800000000032</v>
      </c>
      <c r="W97" s="1">
        <f t="shared" si="72"/>
        <v>32366.49</v>
      </c>
      <c r="X97" s="1">
        <v>33903.06</v>
      </c>
      <c r="Y97" s="41">
        <f t="shared" si="73"/>
        <v>1536.5699999999961</v>
      </c>
      <c r="Z97" s="1">
        <f t="shared" si="74"/>
        <v>33903.06</v>
      </c>
      <c r="AA97" s="1">
        <v>39522.31</v>
      </c>
      <c r="AB97" s="1">
        <f t="shared" si="75"/>
        <v>5619.25</v>
      </c>
      <c r="AC97" s="1">
        <f t="shared" si="76"/>
        <v>39522.31</v>
      </c>
      <c r="AD97" s="41">
        <v>41092.800000000003</v>
      </c>
      <c r="AE97" s="1">
        <f t="shared" si="58"/>
        <v>1570.4900000000052</v>
      </c>
      <c r="AF97" s="1">
        <f t="shared" si="59"/>
        <v>41092.800000000003</v>
      </c>
    </row>
    <row r="98" spans="1:32">
      <c r="A98" s="11">
        <v>13200</v>
      </c>
      <c r="B98" s="11">
        <v>12006</v>
      </c>
      <c r="C98" s="11" t="s">
        <v>81</v>
      </c>
      <c r="D98" s="7">
        <v>0</v>
      </c>
      <c r="E98" s="7">
        <v>134820.37</v>
      </c>
      <c r="F98" s="7">
        <f>D98-E98</f>
        <v>-134820.37</v>
      </c>
      <c r="G98" s="7">
        <v>134820.37</v>
      </c>
      <c r="H98" s="7">
        <f>D98+G98</f>
        <v>134820.37</v>
      </c>
      <c r="I98" s="1">
        <v>173763.38</v>
      </c>
      <c r="J98" s="1">
        <f>H98-I98</f>
        <v>-38943.010000000009</v>
      </c>
      <c r="K98" s="1">
        <v>38943.01</v>
      </c>
      <c r="L98" s="1">
        <f>H98+K98</f>
        <v>173763.38</v>
      </c>
      <c r="M98" s="7">
        <f>175493.62-L98</f>
        <v>1730.2399999999907</v>
      </c>
      <c r="N98" s="1">
        <f>L98+M98</f>
        <v>175493.62</v>
      </c>
      <c r="O98" s="1">
        <v>180031.75</v>
      </c>
      <c r="P98" s="1">
        <f>O98-N98</f>
        <v>4538.1300000000047</v>
      </c>
      <c r="Q98" s="1">
        <f>N98+P98</f>
        <v>180031.75</v>
      </c>
      <c r="R98" s="1">
        <v>189781.37</v>
      </c>
      <c r="S98" s="1">
        <f t="shared" si="69"/>
        <v>9749.6199999999953</v>
      </c>
      <c r="T98" s="1">
        <f t="shared" si="70"/>
        <v>189781.37</v>
      </c>
      <c r="U98" s="1">
        <v>208014.62</v>
      </c>
      <c r="V98" s="1">
        <f t="shared" si="71"/>
        <v>18233.25</v>
      </c>
      <c r="W98" s="1">
        <f t="shared" si="72"/>
        <v>208014.62</v>
      </c>
      <c r="X98" s="1">
        <v>215630.79</v>
      </c>
      <c r="Y98" s="41">
        <f t="shared" si="73"/>
        <v>7616.1700000000128</v>
      </c>
      <c r="Z98" s="1">
        <f t="shared" si="74"/>
        <v>215630.79</v>
      </c>
      <c r="AA98" s="1">
        <v>229941.56</v>
      </c>
      <c r="AB98" s="1">
        <f t="shared" si="75"/>
        <v>14310.76999999999</v>
      </c>
      <c r="AC98" s="1">
        <f t="shared" si="76"/>
        <v>229941.56</v>
      </c>
      <c r="AD98" s="41">
        <v>248170.9</v>
      </c>
      <c r="AE98" s="1">
        <f t="shared" si="58"/>
        <v>18229.339999999997</v>
      </c>
      <c r="AF98" s="1">
        <f t="shared" si="59"/>
        <v>248170.9</v>
      </c>
    </row>
    <row r="99" spans="1:32">
      <c r="A99" s="11">
        <v>13300</v>
      </c>
      <c r="B99" s="11">
        <v>12006</v>
      </c>
      <c r="C99" s="11" t="s">
        <v>81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47">
        <v>0</v>
      </c>
      <c r="R99" s="41">
        <v>3368.98</v>
      </c>
      <c r="S99" s="1">
        <f t="shared" si="69"/>
        <v>3368.98</v>
      </c>
      <c r="T99" s="1">
        <f t="shared" si="70"/>
        <v>3368.98</v>
      </c>
      <c r="U99" s="1">
        <v>3642.81</v>
      </c>
      <c r="V99" s="1">
        <f t="shared" si="71"/>
        <v>273.82999999999993</v>
      </c>
      <c r="W99" s="1">
        <f t="shared" si="72"/>
        <v>3642.81</v>
      </c>
      <c r="X99" s="41">
        <v>3461.56</v>
      </c>
      <c r="Y99" s="41">
        <f t="shared" si="73"/>
        <v>-181.25</v>
      </c>
      <c r="Z99" s="1">
        <f t="shared" si="74"/>
        <v>3461.56</v>
      </c>
      <c r="AA99" s="41">
        <v>4523.38</v>
      </c>
      <c r="AB99" s="41">
        <f t="shared" si="75"/>
        <v>1061.8200000000002</v>
      </c>
      <c r="AC99" s="1">
        <f t="shared" si="76"/>
        <v>4523.38</v>
      </c>
      <c r="AD99" s="41">
        <v>4564</v>
      </c>
      <c r="AE99" s="1">
        <f t="shared" si="58"/>
        <v>40.619999999999891</v>
      </c>
      <c r="AF99" s="1">
        <f t="shared" si="59"/>
        <v>4564</v>
      </c>
    </row>
    <row r="100" spans="1:32">
      <c r="A100" s="11">
        <v>15100</v>
      </c>
      <c r="B100" s="11">
        <v>12006</v>
      </c>
      <c r="C100" s="11" t="s">
        <v>81</v>
      </c>
      <c r="D100" s="7">
        <v>0</v>
      </c>
      <c r="E100" s="7">
        <v>34475.03</v>
      </c>
      <c r="F100" s="7">
        <f>D100-E100</f>
        <v>-34475.03</v>
      </c>
      <c r="G100" s="7">
        <v>34475.03</v>
      </c>
      <c r="H100" s="7">
        <f>D100+G100</f>
        <v>34475.03</v>
      </c>
      <c r="I100" s="1">
        <v>52599.87</v>
      </c>
      <c r="J100" s="1">
        <f>H100-I100</f>
        <v>-18124.840000000004</v>
      </c>
      <c r="K100" s="1">
        <v>18124.84</v>
      </c>
      <c r="L100" s="1">
        <f>H100+K100</f>
        <v>52599.869999999995</v>
      </c>
      <c r="M100" s="7">
        <f>47021.54-L100</f>
        <v>-5578.3299999999945</v>
      </c>
      <c r="N100" s="1">
        <f t="shared" ref="N100:N117" si="77">L100+M100</f>
        <v>47021.54</v>
      </c>
      <c r="O100" s="1">
        <v>50405.2</v>
      </c>
      <c r="P100" s="1">
        <f t="shared" ref="P100:P117" si="78">O100-N100</f>
        <v>3383.6599999999962</v>
      </c>
      <c r="Q100" s="1">
        <f t="shared" ref="Q100:Q117" si="79">N100+P100</f>
        <v>50405.2</v>
      </c>
      <c r="R100" s="1">
        <v>52513.49</v>
      </c>
      <c r="S100" s="1">
        <f t="shared" si="69"/>
        <v>2108.2900000000009</v>
      </c>
      <c r="T100" s="1">
        <f t="shared" si="70"/>
        <v>52513.49</v>
      </c>
      <c r="U100" s="1">
        <v>67845.259999999995</v>
      </c>
      <c r="V100" s="1">
        <f t="shared" si="71"/>
        <v>15331.769999999997</v>
      </c>
      <c r="W100" s="1">
        <f t="shared" si="72"/>
        <v>67845.259999999995</v>
      </c>
      <c r="X100" s="1">
        <v>57162.02</v>
      </c>
      <c r="Y100" s="41">
        <f t="shared" si="73"/>
        <v>-10683.239999999998</v>
      </c>
      <c r="Z100" s="1">
        <f t="shared" si="74"/>
        <v>57162.02</v>
      </c>
      <c r="AA100" s="1">
        <v>47943.44</v>
      </c>
      <c r="AB100" s="1">
        <f t="shared" si="75"/>
        <v>-9218.5799999999945</v>
      </c>
      <c r="AC100" s="1">
        <f t="shared" si="76"/>
        <v>47943.44</v>
      </c>
      <c r="AD100" s="41">
        <v>44878.99</v>
      </c>
      <c r="AE100" s="1">
        <f t="shared" si="58"/>
        <v>-3064.4500000000044</v>
      </c>
      <c r="AF100" s="1">
        <f t="shared" si="59"/>
        <v>44878.99</v>
      </c>
    </row>
    <row r="101" spans="1:32">
      <c r="A101" s="13">
        <v>16400</v>
      </c>
      <c r="B101" s="11">
        <v>12006</v>
      </c>
      <c r="C101" s="11" t="s">
        <v>81</v>
      </c>
      <c r="D101" s="10">
        <v>0</v>
      </c>
      <c r="E101" s="10">
        <v>322.82</v>
      </c>
      <c r="F101" s="7">
        <f>D101-E101</f>
        <v>-322.82</v>
      </c>
      <c r="G101" s="10">
        <v>322.82</v>
      </c>
      <c r="H101" s="7">
        <f>D101+G101</f>
        <v>322.82</v>
      </c>
      <c r="I101" s="16">
        <v>377.16</v>
      </c>
      <c r="J101" s="1">
        <f>H101-I101</f>
        <v>-54.340000000000032</v>
      </c>
      <c r="K101" s="16">
        <v>54.34</v>
      </c>
      <c r="L101" s="21">
        <f>H101+K101</f>
        <v>377.15999999999997</v>
      </c>
      <c r="M101" s="10">
        <v>0</v>
      </c>
      <c r="N101" s="1">
        <f t="shared" si="77"/>
        <v>377.15999999999997</v>
      </c>
      <c r="O101" s="1">
        <v>525.33000000000004</v>
      </c>
      <c r="P101" s="1">
        <f t="shared" si="78"/>
        <v>148.17000000000007</v>
      </c>
      <c r="Q101" s="1">
        <f t="shared" si="79"/>
        <v>525.33000000000004</v>
      </c>
      <c r="R101" s="41">
        <v>565.74</v>
      </c>
      <c r="S101" s="1">
        <f t="shared" si="69"/>
        <v>40.409999999999968</v>
      </c>
      <c r="T101" s="1">
        <f t="shared" si="70"/>
        <v>565.74</v>
      </c>
      <c r="U101" s="41">
        <v>1252.71</v>
      </c>
      <c r="V101" s="1">
        <f t="shared" si="71"/>
        <v>686.97</v>
      </c>
      <c r="W101" s="1">
        <f t="shared" si="72"/>
        <v>1252.71</v>
      </c>
      <c r="X101" s="41">
        <v>1482.91</v>
      </c>
      <c r="Y101" s="41">
        <f t="shared" si="73"/>
        <v>230.20000000000005</v>
      </c>
      <c r="Z101" s="1">
        <f t="shared" si="74"/>
        <v>1482.91</v>
      </c>
      <c r="AA101" s="41">
        <v>1498.33</v>
      </c>
      <c r="AB101" s="1">
        <f t="shared" si="75"/>
        <v>15.419999999999845</v>
      </c>
      <c r="AC101" s="1">
        <f t="shared" si="76"/>
        <v>1498.33</v>
      </c>
      <c r="AD101" s="41">
        <v>1563.1</v>
      </c>
      <c r="AE101" s="1">
        <f t="shared" si="58"/>
        <v>64.769999999999982</v>
      </c>
      <c r="AF101" s="1">
        <f t="shared" si="59"/>
        <v>1563.1</v>
      </c>
    </row>
    <row r="102" spans="1:32">
      <c r="A102" s="13">
        <v>16500</v>
      </c>
      <c r="B102" s="11">
        <v>12006</v>
      </c>
      <c r="C102" s="11" t="s">
        <v>81</v>
      </c>
      <c r="D102" s="7">
        <v>0</v>
      </c>
      <c r="E102" s="7">
        <v>4397.46</v>
      </c>
      <c r="F102" s="7">
        <f>D102-E102</f>
        <v>-4397.46</v>
      </c>
      <c r="G102" s="7">
        <v>4397.46</v>
      </c>
      <c r="H102" s="10">
        <f>D102+G102</f>
        <v>4397.46</v>
      </c>
      <c r="I102" s="16">
        <v>1990.38</v>
      </c>
      <c r="J102" s="16">
        <f>H102-I102</f>
        <v>2407.08</v>
      </c>
      <c r="K102" s="16">
        <v>-2407.08</v>
      </c>
      <c r="L102" s="1">
        <f>H102+K102</f>
        <v>1990.38</v>
      </c>
      <c r="M102" s="10">
        <f>2303.31-L102</f>
        <v>312.92999999999984</v>
      </c>
      <c r="N102" s="1">
        <f t="shared" si="77"/>
        <v>2303.31</v>
      </c>
      <c r="O102" s="1">
        <v>3030.57</v>
      </c>
      <c r="P102" s="1">
        <f t="shared" si="78"/>
        <v>727.26000000000022</v>
      </c>
      <c r="Q102" s="1">
        <f t="shared" si="79"/>
        <v>3030.57</v>
      </c>
      <c r="R102" s="41">
        <v>4936.84</v>
      </c>
      <c r="S102" s="1">
        <f t="shared" si="69"/>
        <v>1906.27</v>
      </c>
      <c r="T102" s="1">
        <f t="shared" si="70"/>
        <v>4936.84</v>
      </c>
      <c r="U102" s="41">
        <v>5397.94</v>
      </c>
      <c r="V102" s="1">
        <f t="shared" si="71"/>
        <v>461.09999999999945</v>
      </c>
      <c r="W102" s="1">
        <f t="shared" si="72"/>
        <v>5397.94</v>
      </c>
      <c r="X102" s="41">
        <v>6007.7</v>
      </c>
      <c r="Y102" s="41">
        <f t="shared" si="73"/>
        <v>609.76000000000022</v>
      </c>
      <c r="Z102" s="1">
        <f t="shared" si="74"/>
        <v>6007.7</v>
      </c>
      <c r="AA102" s="41">
        <v>4513.93</v>
      </c>
      <c r="AB102" s="1">
        <f t="shared" si="75"/>
        <v>-1493.7699999999995</v>
      </c>
      <c r="AC102" s="1">
        <f t="shared" si="76"/>
        <v>4513.93</v>
      </c>
      <c r="AD102" s="41">
        <v>5158.2</v>
      </c>
      <c r="AE102" s="1">
        <f t="shared" si="58"/>
        <v>644.26999999999953</v>
      </c>
      <c r="AF102" s="1">
        <f t="shared" si="59"/>
        <v>5158.2</v>
      </c>
    </row>
    <row r="103" spans="1:32">
      <c r="A103" s="13">
        <v>17000</v>
      </c>
      <c r="B103" s="11">
        <v>12006</v>
      </c>
      <c r="C103" s="11" t="s">
        <v>81</v>
      </c>
      <c r="D103" s="7">
        <v>0</v>
      </c>
      <c r="E103" s="7">
        <v>3110.16</v>
      </c>
      <c r="F103" s="7">
        <f>D103-E103</f>
        <v>-3110.16</v>
      </c>
      <c r="G103" s="7">
        <v>3110.16</v>
      </c>
      <c r="H103" s="7">
        <f>D103+G103</f>
        <v>3110.16</v>
      </c>
      <c r="I103" s="16">
        <v>5298.02</v>
      </c>
      <c r="J103" s="1">
        <f>H103-I103</f>
        <v>-2187.8600000000006</v>
      </c>
      <c r="K103" s="16">
        <v>2187.86</v>
      </c>
      <c r="L103" s="1">
        <f>H103+K103</f>
        <v>5298.02</v>
      </c>
      <c r="M103" s="10">
        <f>5895.12-L103</f>
        <v>597.09999999999945</v>
      </c>
      <c r="N103" s="1">
        <f t="shared" si="77"/>
        <v>5895.12</v>
      </c>
      <c r="O103" s="1">
        <v>5895.12</v>
      </c>
      <c r="P103" s="1">
        <f t="shared" si="78"/>
        <v>0</v>
      </c>
      <c r="Q103" s="1">
        <f t="shared" si="79"/>
        <v>5895.12</v>
      </c>
      <c r="R103" s="41">
        <v>7254.14</v>
      </c>
      <c r="S103" s="1">
        <f t="shared" si="69"/>
        <v>1359.0200000000004</v>
      </c>
      <c r="T103" s="1">
        <f t="shared" si="70"/>
        <v>7254.14</v>
      </c>
      <c r="U103" s="41">
        <v>10421.6</v>
      </c>
      <c r="V103" s="1">
        <f t="shared" si="71"/>
        <v>3167.46</v>
      </c>
      <c r="W103" s="1">
        <f t="shared" si="72"/>
        <v>10421.6</v>
      </c>
      <c r="X103" s="41">
        <v>18591.09</v>
      </c>
      <c r="Y103" s="41">
        <f t="shared" si="73"/>
        <v>8169.49</v>
      </c>
      <c r="Z103" s="1">
        <f t="shared" si="74"/>
        <v>18591.09</v>
      </c>
      <c r="AA103" s="41">
        <v>28732.58</v>
      </c>
      <c r="AB103" s="1">
        <f t="shared" si="75"/>
        <v>10141.490000000002</v>
      </c>
      <c r="AC103" s="1">
        <f t="shared" si="76"/>
        <v>28732.58</v>
      </c>
      <c r="AD103" s="41">
        <v>33564.339999999997</v>
      </c>
      <c r="AE103" s="1">
        <f t="shared" si="58"/>
        <v>4831.7599999999948</v>
      </c>
      <c r="AF103" s="1">
        <f t="shared" si="59"/>
        <v>33564.339999999997</v>
      </c>
    </row>
    <row r="104" spans="1:32">
      <c r="A104" s="13">
        <v>17100</v>
      </c>
      <c r="B104" s="11">
        <v>12006</v>
      </c>
      <c r="C104" s="11" t="s">
        <v>81</v>
      </c>
      <c r="D104" s="7">
        <v>0</v>
      </c>
      <c r="E104" s="7">
        <v>11694.66</v>
      </c>
      <c r="F104" s="7">
        <f>D104-E104</f>
        <v>-11694.66</v>
      </c>
      <c r="G104" s="7">
        <v>11694.66</v>
      </c>
      <c r="H104" s="7">
        <f>D104+G104</f>
        <v>11694.66</v>
      </c>
      <c r="I104" s="16">
        <v>10804.64</v>
      </c>
      <c r="J104" s="16">
        <f>H104-I104</f>
        <v>890.02000000000044</v>
      </c>
      <c r="K104" s="16">
        <v>-890.02</v>
      </c>
      <c r="L104" s="16">
        <f>H104+K104</f>
        <v>10804.64</v>
      </c>
      <c r="M104" s="7">
        <f>11594.76-L104</f>
        <v>790.1200000000008</v>
      </c>
      <c r="N104" s="1">
        <f t="shared" si="77"/>
        <v>11594.76</v>
      </c>
      <c r="O104" s="1">
        <v>12567.76</v>
      </c>
      <c r="P104" s="1">
        <f t="shared" si="78"/>
        <v>973</v>
      </c>
      <c r="Q104" s="1">
        <f t="shared" si="79"/>
        <v>12567.76</v>
      </c>
      <c r="R104" s="41">
        <v>15876.04</v>
      </c>
      <c r="S104" s="1">
        <f t="shared" si="69"/>
        <v>3308.2800000000007</v>
      </c>
      <c r="T104" s="1">
        <f t="shared" si="70"/>
        <v>15876.04</v>
      </c>
      <c r="U104" s="1">
        <v>18488.22</v>
      </c>
      <c r="V104" s="1">
        <f t="shared" si="71"/>
        <v>2612.1800000000003</v>
      </c>
      <c r="W104" s="1">
        <f t="shared" si="72"/>
        <v>18488.22</v>
      </c>
      <c r="X104" s="1">
        <v>20649.02</v>
      </c>
      <c r="Y104" s="41">
        <f t="shared" si="73"/>
        <v>2160.7999999999993</v>
      </c>
      <c r="Z104" s="1">
        <f t="shared" si="74"/>
        <v>20649.02</v>
      </c>
      <c r="AA104" s="41">
        <v>21813.65</v>
      </c>
      <c r="AB104" s="1">
        <f t="shared" si="75"/>
        <v>1164.630000000001</v>
      </c>
      <c r="AC104" s="1">
        <f t="shared" si="76"/>
        <v>21813.65</v>
      </c>
      <c r="AD104" s="41">
        <v>23557.79</v>
      </c>
      <c r="AE104" s="1">
        <f t="shared" si="58"/>
        <v>1744.1399999999994</v>
      </c>
      <c r="AF104" s="1">
        <f t="shared" si="59"/>
        <v>23557.79</v>
      </c>
    </row>
    <row r="105" spans="1:32">
      <c r="A105" s="13">
        <v>23110</v>
      </c>
      <c r="B105" s="11">
        <v>12006</v>
      </c>
      <c r="C105" s="11" t="s">
        <v>81</v>
      </c>
      <c r="D105" s="8"/>
      <c r="E105" s="8"/>
      <c r="F105" s="8"/>
      <c r="G105" s="8"/>
      <c r="H105" s="8"/>
      <c r="I105" s="8"/>
      <c r="J105" s="8"/>
      <c r="K105" s="8"/>
      <c r="L105" s="10">
        <v>23514.61</v>
      </c>
      <c r="M105" s="10">
        <f>26609.73-L105</f>
        <v>3095.119999999999</v>
      </c>
      <c r="N105" s="7">
        <f t="shared" si="77"/>
        <v>26609.73</v>
      </c>
      <c r="O105" s="7">
        <v>27398.53</v>
      </c>
      <c r="P105" s="1">
        <f t="shared" si="78"/>
        <v>788.79999999999927</v>
      </c>
      <c r="Q105" s="1">
        <f t="shared" si="79"/>
        <v>27398.53</v>
      </c>
      <c r="R105" s="41">
        <v>33396.11</v>
      </c>
      <c r="S105" s="1">
        <f t="shared" si="69"/>
        <v>5997.5800000000017</v>
      </c>
      <c r="T105" s="1">
        <f t="shared" si="70"/>
        <v>33396.11</v>
      </c>
      <c r="U105" s="41">
        <v>33073.620000000003</v>
      </c>
      <c r="V105" s="1">
        <f t="shared" si="71"/>
        <v>-322.48999999999796</v>
      </c>
      <c r="W105" s="1">
        <f t="shared" si="72"/>
        <v>33073.620000000003</v>
      </c>
      <c r="X105" s="41">
        <v>31468.6</v>
      </c>
      <c r="Y105" s="41">
        <f t="shared" si="73"/>
        <v>-1605.0200000000041</v>
      </c>
      <c r="Z105" s="1">
        <f t="shared" si="74"/>
        <v>31468.6</v>
      </c>
      <c r="AA105" s="41">
        <v>31555.96</v>
      </c>
      <c r="AB105" s="41">
        <f t="shared" si="75"/>
        <v>87.360000000000582</v>
      </c>
      <c r="AC105" s="1">
        <f t="shared" si="76"/>
        <v>31555.96</v>
      </c>
      <c r="AD105" s="41">
        <v>37182.559999999998</v>
      </c>
      <c r="AE105" s="1">
        <f t="shared" si="58"/>
        <v>5626.5999999999985</v>
      </c>
      <c r="AF105" s="1">
        <f t="shared" si="59"/>
        <v>37182.559999999998</v>
      </c>
    </row>
    <row r="106" spans="1:32">
      <c r="A106" s="13">
        <v>23111</v>
      </c>
      <c r="B106" s="11">
        <v>12006</v>
      </c>
      <c r="C106" s="11" t="s">
        <v>81</v>
      </c>
      <c r="D106" s="7">
        <v>0</v>
      </c>
      <c r="E106" s="7">
        <v>8360.5300000000007</v>
      </c>
      <c r="F106" s="7">
        <f t="shared" ref="F106:F117" si="80">D106-E106</f>
        <v>-8360.5300000000007</v>
      </c>
      <c r="G106" s="7">
        <v>8360.5300000000007</v>
      </c>
      <c r="H106" s="7">
        <f t="shared" ref="H106:H117" si="81">D106+G106</f>
        <v>8360.5300000000007</v>
      </c>
      <c r="I106" s="10">
        <v>9709</v>
      </c>
      <c r="J106" s="10">
        <f t="shared" ref="J106:J117" si="82">H106-I106</f>
        <v>-1348.4699999999993</v>
      </c>
      <c r="K106" s="10">
        <v>1348.47</v>
      </c>
      <c r="L106" s="7">
        <v>9709</v>
      </c>
      <c r="M106" s="10">
        <f>13415.01-L106</f>
        <v>3706.01</v>
      </c>
      <c r="N106" s="7">
        <f t="shared" si="77"/>
        <v>13415.01</v>
      </c>
      <c r="O106" s="7">
        <v>15348.68</v>
      </c>
      <c r="P106" s="1">
        <f t="shared" si="78"/>
        <v>1933.67</v>
      </c>
      <c r="Q106" s="1">
        <f t="shared" si="79"/>
        <v>15348.68</v>
      </c>
      <c r="R106" s="41">
        <v>20186.96</v>
      </c>
      <c r="S106" s="1">
        <f t="shared" si="69"/>
        <v>4838.2799999999988</v>
      </c>
      <c r="T106" s="1">
        <f t="shared" si="70"/>
        <v>20186.96</v>
      </c>
      <c r="U106" s="41">
        <v>22655.29</v>
      </c>
      <c r="V106" s="1">
        <f t="shared" si="71"/>
        <v>2468.3300000000017</v>
      </c>
      <c r="W106" s="1">
        <f t="shared" si="72"/>
        <v>22655.29</v>
      </c>
      <c r="X106" s="41">
        <v>23036.23</v>
      </c>
      <c r="Y106" s="41">
        <f t="shared" si="73"/>
        <v>380.93999999999869</v>
      </c>
      <c r="Z106" s="1">
        <f t="shared" si="74"/>
        <v>23036.23</v>
      </c>
      <c r="AA106" s="41">
        <v>24317.759999999998</v>
      </c>
      <c r="AB106" s="41">
        <f t="shared" si="75"/>
        <v>1281.5299999999988</v>
      </c>
      <c r="AC106" s="1">
        <f t="shared" si="76"/>
        <v>24317.759999999998</v>
      </c>
      <c r="AD106" s="41">
        <v>26231.86</v>
      </c>
      <c r="AE106" s="1">
        <f t="shared" si="58"/>
        <v>1914.1000000000022</v>
      </c>
      <c r="AF106" s="1">
        <f t="shared" si="59"/>
        <v>26231.86</v>
      </c>
    </row>
    <row r="107" spans="1:32">
      <c r="A107" s="42">
        <v>23113</v>
      </c>
      <c r="B107" s="11">
        <v>12006</v>
      </c>
      <c r="C107" s="11" t="s">
        <v>81</v>
      </c>
      <c r="D107" s="7">
        <v>0</v>
      </c>
      <c r="E107" s="7">
        <v>19519.939999999999</v>
      </c>
      <c r="F107" s="7">
        <f t="shared" si="80"/>
        <v>-19519.939999999999</v>
      </c>
      <c r="G107" s="7">
        <v>19519.939999999999</v>
      </c>
      <c r="H107" s="7">
        <f t="shared" si="81"/>
        <v>19519.939999999999</v>
      </c>
      <c r="I107" s="7">
        <v>19940.900000000001</v>
      </c>
      <c r="J107" s="7">
        <f t="shared" si="82"/>
        <v>-420.96000000000276</v>
      </c>
      <c r="K107" s="7">
        <v>420.96</v>
      </c>
      <c r="L107" s="7">
        <v>19940.900000000001</v>
      </c>
      <c r="M107" s="7">
        <f>26107.55-L107</f>
        <v>6166.6499999999978</v>
      </c>
      <c r="N107" s="7">
        <f t="shared" si="77"/>
        <v>26107.55</v>
      </c>
      <c r="O107" s="7">
        <v>33548.79</v>
      </c>
      <c r="P107" s="1">
        <f t="shared" si="78"/>
        <v>7441.2400000000016</v>
      </c>
      <c r="Q107" s="1">
        <f t="shared" si="79"/>
        <v>33548.79</v>
      </c>
      <c r="R107" s="41">
        <v>45555.199999999997</v>
      </c>
      <c r="S107" s="1">
        <f t="shared" si="69"/>
        <v>12006.409999999996</v>
      </c>
      <c r="T107" s="1">
        <f t="shared" si="70"/>
        <v>45555.199999999997</v>
      </c>
      <c r="U107" s="41">
        <v>53421.66</v>
      </c>
      <c r="V107" s="1">
        <f t="shared" si="71"/>
        <v>7866.4600000000064</v>
      </c>
      <c r="W107" s="1">
        <f t="shared" si="72"/>
        <v>53421.66</v>
      </c>
      <c r="X107" s="41">
        <v>57177.11</v>
      </c>
      <c r="Y107" s="41">
        <f t="shared" si="73"/>
        <v>3755.4499999999971</v>
      </c>
      <c r="Z107" s="1">
        <f t="shared" si="74"/>
        <v>57177.11</v>
      </c>
      <c r="AA107" s="41">
        <v>54486.18</v>
      </c>
      <c r="AB107" s="41">
        <f t="shared" si="75"/>
        <v>-2690.9300000000003</v>
      </c>
      <c r="AC107" s="1">
        <f t="shared" si="76"/>
        <v>54486.18</v>
      </c>
      <c r="AD107" s="41">
        <v>60013.61</v>
      </c>
      <c r="AE107" s="1">
        <f t="shared" si="58"/>
        <v>5527.43</v>
      </c>
      <c r="AF107" s="1">
        <f t="shared" si="59"/>
        <v>60013.61</v>
      </c>
    </row>
    <row r="108" spans="1:32">
      <c r="A108" s="11">
        <v>32000</v>
      </c>
      <c r="B108" s="11">
        <v>12006</v>
      </c>
      <c r="C108" s="11" t="s">
        <v>81</v>
      </c>
      <c r="D108" s="7">
        <v>0</v>
      </c>
      <c r="E108" s="7">
        <v>4486.66</v>
      </c>
      <c r="F108" s="7">
        <f t="shared" si="80"/>
        <v>-4486.66</v>
      </c>
      <c r="G108" s="7">
        <v>4486.66</v>
      </c>
      <c r="H108" s="7">
        <f t="shared" si="81"/>
        <v>4486.66</v>
      </c>
      <c r="I108" s="1">
        <v>6967.38</v>
      </c>
      <c r="J108" s="1">
        <f t="shared" si="82"/>
        <v>-2480.7200000000003</v>
      </c>
      <c r="K108" s="1">
        <v>2480.7199999999998</v>
      </c>
      <c r="L108" s="1">
        <f>H108+K108</f>
        <v>6967.3799999999992</v>
      </c>
      <c r="M108" s="7">
        <f>8753.74-L108</f>
        <v>1786.3600000000006</v>
      </c>
      <c r="N108" s="1">
        <f t="shared" si="77"/>
        <v>8753.74</v>
      </c>
      <c r="O108" s="1">
        <v>10612.42</v>
      </c>
      <c r="P108" s="1">
        <f t="shared" si="78"/>
        <v>1858.6800000000003</v>
      </c>
      <c r="Q108" s="1">
        <f t="shared" si="79"/>
        <v>10612.42</v>
      </c>
      <c r="R108" s="41">
        <v>12637.46</v>
      </c>
      <c r="S108" s="1">
        <f t="shared" si="69"/>
        <v>2025.0399999999991</v>
      </c>
      <c r="T108" s="1">
        <f t="shared" si="70"/>
        <v>12637.46</v>
      </c>
      <c r="U108" s="41">
        <v>23358.38</v>
      </c>
      <c r="V108" s="1">
        <f t="shared" si="71"/>
        <v>10720.920000000002</v>
      </c>
      <c r="W108" s="1">
        <f t="shared" si="72"/>
        <v>23358.38</v>
      </c>
      <c r="X108" s="41">
        <v>25181.47</v>
      </c>
      <c r="Y108" s="41">
        <f t="shared" si="73"/>
        <v>1823.0900000000001</v>
      </c>
      <c r="Z108" s="1">
        <f t="shared" si="74"/>
        <v>25181.47</v>
      </c>
      <c r="AA108" s="41">
        <v>34544.04</v>
      </c>
      <c r="AB108" s="41">
        <f t="shared" si="75"/>
        <v>9362.57</v>
      </c>
      <c r="AC108" s="1">
        <f t="shared" si="76"/>
        <v>34544.04</v>
      </c>
      <c r="AD108" s="41">
        <v>35092.83</v>
      </c>
      <c r="AE108" s="1">
        <f t="shared" si="58"/>
        <v>548.79000000000087</v>
      </c>
      <c r="AF108" s="1">
        <f t="shared" si="59"/>
        <v>35092.83</v>
      </c>
    </row>
    <row r="109" spans="1:32">
      <c r="A109" s="11">
        <v>33220</v>
      </c>
      <c r="B109" s="11">
        <v>12006</v>
      </c>
      <c r="C109" s="11" t="s">
        <v>81</v>
      </c>
      <c r="D109" s="7">
        <v>0</v>
      </c>
      <c r="E109" s="7">
        <v>4825.6400000000003</v>
      </c>
      <c r="F109" s="7">
        <f t="shared" si="80"/>
        <v>-4825.6400000000003</v>
      </c>
      <c r="G109" s="7">
        <v>4825.6400000000003</v>
      </c>
      <c r="H109" s="7">
        <f t="shared" si="81"/>
        <v>4825.6400000000003</v>
      </c>
      <c r="I109" s="1">
        <v>8625.5400000000009</v>
      </c>
      <c r="J109" s="1">
        <f t="shared" si="82"/>
        <v>-3799.9000000000005</v>
      </c>
      <c r="K109" s="1">
        <v>3799.9</v>
      </c>
      <c r="L109" s="1">
        <f>H109+K109</f>
        <v>8625.5400000000009</v>
      </c>
      <c r="M109" s="7">
        <f>9055.14-L109</f>
        <v>429.59999999999854</v>
      </c>
      <c r="N109" s="1">
        <f t="shared" si="77"/>
        <v>9055.14</v>
      </c>
      <c r="O109" s="1">
        <v>9627.94</v>
      </c>
      <c r="P109" s="1">
        <f t="shared" si="78"/>
        <v>572.80000000000109</v>
      </c>
      <c r="Q109" s="1">
        <f t="shared" si="79"/>
        <v>9627.94</v>
      </c>
      <c r="R109" s="1">
        <v>11757.05</v>
      </c>
      <c r="S109" s="1">
        <f t="shared" si="69"/>
        <v>2129.1099999999988</v>
      </c>
      <c r="T109" s="1">
        <f t="shared" si="70"/>
        <v>11757.05</v>
      </c>
      <c r="U109" s="1">
        <v>12820.5</v>
      </c>
      <c r="V109" s="1">
        <f t="shared" si="71"/>
        <v>1063.4500000000007</v>
      </c>
      <c r="W109" s="1">
        <f t="shared" si="72"/>
        <v>12820.5</v>
      </c>
      <c r="X109" s="1">
        <v>12315.94</v>
      </c>
      <c r="Y109" s="41">
        <f t="shared" si="73"/>
        <v>-504.55999999999949</v>
      </c>
      <c r="Z109" s="1">
        <f t="shared" si="74"/>
        <v>12315.94</v>
      </c>
      <c r="AA109" s="1">
        <v>13122.66</v>
      </c>
      <c r="AB109" s="41">
        <f t="shared" si="75"/>
        <v>806.71999999999935</v>
      </c>
      <c r="AC109" s="1">
        <f t="shared" si="76"/>
        <v>13122.66</v>
      </c>
      <c r="AD109" s="41">
        <v>14055.61</v>
      </c>
      <c r="AE109" s="1">
        <f t="shared" si="58"/>
        <v>932.95000000000073</v>
      </c>
      <c r="AF109" s="1">
        <f t="shared" si="59"/>
        <v>14055.61</v>
      </c>
    </row>
    <row r="110" spans="1:32">
      <c r="A110" s="11">
        <v>33400</v>
      </c>
      <c r="B110" s="11">
        <v>12006</v>
      </c>
      <c r="C110" s="11" t="s">
        <v>81</v>
      </c>
      <c r="D110" s="7">
        <v>0</v>
      </c>
      <c r="E110" s="7">
        <v>11464.93</v>
      </c>
      <c r="F110" s="7">
        <f t="shared" si="80"/>
        <v>-11464.93</v>
      </c>
      <c r="G110" s="7">
        <v>11464.93</v>
      </c>
      <c r="H110" s="7">
        <f t="shared" si="81"/>
        <v>11464.93</v>
      </c>
      <c r="I110" s="16">
        <v>8011.36</v>
      </c>
      <c r="J110" s="1">
        <f t="shared" si="82"/>
        <v>3453.5700000000006</v>
      </c>
      <c r="K110" s="1">
        <v>-3453.57</v>
      </c>
      <c r="L110" s="1">
        <f>H110+K110</f>
        <v>8011.3600000000006</v>
      </c>
      <c r="M110" s="7">
        <f>7414.26-L110</f>
        <v>-597.10000000000036</v>
      </c>
      <c r="N110" s="1">
        <f t="shared" si="77"/>
        <v>7414.26</v>
      </c>
      <c r="O110" s="1">
        <v>7414.26</v>
      </c>
      <c r="P110" s="1">
        <f t="shared" si="78"/>
        <v>0</v>
      </c>
      <c r="Q110" s="1">
        <f t="shared" si="79"/>
        <v>7414.26</v>
      </c>
      <c r="R110" s="1">
        <v>8352.23</v>
      </c>
      <c r="S110" s="1">
        <f t="shared" si="69"/>
        <v>937.96999999999935</v>
      </c>
      <c r="T110" s="1">
        <f t="shared" si="70"/>
        <v>8352.23</v>
      </c>
      <c r="U110" s="1">
        <v>7018.9</v>
      </c>
      <c r="V110" s="1">
        <f t="shared" si="71"/>
        <v>-1333.33</v>
      </c>
      <c r="W110" s="1">
        <f t="shared" si="72"/>
        <v>7018.9</v>
      </c>
      <c r="X110" s="1">
        <v>7279.56</v>
      </c>
      <c r="Y110" s="41">
        <f t="shared" si="73"/>
        <v>260.66000000000076</v>
      </c>
      <c r="Z110" s="1">
        <f t="shared" si="74"/>
        <v>7279.56</v>
      </c>
      <c r="AA110" s="1">
        <v>7916.5</v>
      </c>
      <c r="AB110" s="1">
        <f t="shared" si="75"/>
        <v>636.9399999999996</v>
      </c>
      <c r="AC110" s="1">
        <f t="shared" si="76"/>
        <v>7916.5</v>
      </c>
      <c r="AD110" s="41">
        <v>8025.1</v>
      </c>
      <c r="AE110" s="1">
        <f t="shared" si="58"/>
        <v>108.60000000000036</v>
      </c>
      <c r="AF110" s="1">
        <f t="shared" si="59"/>
        <v>8025.1</v>
      </c>
    </row>
    <row r="111" spans="1:32">
      <c r="A111" s="11">
        <v>33600</v>
      </c>
      <c r="B111" s="11">
        <v>12006</v>
      </c>
      <c r="C111" s="11" t="s">
        <v>81</v>
      </c>
      <c r="D111" s="7">
        <v>0</v>
      </c>
      <c r="E111" s="7">
        <v>16627.099999999999</v>
      </c>
      <c r="F111" s="7">
        <f t="shared" si="80"/>
        <v>-16627.099999999999</v>
      </c>
      <c r="G111" s="7">
        <v>16627.099999999999</v>
      </c>
      <c r="H111" s="7">
        <f t="shared" si="81"/>
        <v>16627.099999999999</v>
      </c>
      <c r="I111" s="1">
        <v>21416.5</v>
      </c>
      <c r="J111" s="1">
        <f t="shared" si="82"/>
        <v>-4789.4000000000015</v>
      </c>
      <c r="K111" s="1">
        <v>4789.3999999999996</v>
      </c>
      <c r="L111" s="1">
        <f>H111+K111</f>
        <v>21416.5</v>
      </c>
      <c r="M111" s="7">
        <f>21822.84-L111</f>
        <v>406.34000000000015</v>
      </c>
      <c r="N111" s="1">
        <f t="shared" si="77"/>
        <v>21822.84</v>
      </c>
      <c r="O111" s="1">
        <v>22438.59</v>
      </c>
      <c r="P111" s="1">
        <f t="shared" si="78"/>
        <v>615.75</v>
      </c>
      <c r="Q111" s="1">
        <f t="shared" si="79"/>
        <v>22438.59</v>
      </c>
      <c r="R111" s="41">
        <v>23320.48</v>
      </c>
      <c r="S111" s="1">
        <f t="shared" si="69"/>
        <v>881.88999999999942</v>
      </c>
      <c r="T111" s="1">
        <f t="shared" si="70"/>
        <v>23320.48</v>
      </c>
      <c r="U111" s="1">
        <v>24678.560000000001</v>
      </c>
      <c r="V111" s="1">
        <f t="shared" si="71"/>
        <v>1358.0800000000017</v>
      </c>
      <c r="W111" s="1">
        <f t="shared" si="72"/>
        <v>24678.560000000001</v>
      </c>
      <c r="X111" s="1">
        <v>25543.32</v>
      </c>
      <c r="Y111" s="41">
        <f t="shared" si="73"/>
        <v>864.7599999999984</v>
      </c>
      <c r="Z111" s="1">
        <f t="shared" si="74"/>
        <v>25543.32</v>
      </c>
      <c r="AA111" s="1">
        <v>26451.89</v>
      </c>
      <c r="AB111" s="1">
        <f t="shared" si="75"/>
        <v>908.56999999999971</v>
      </c>
      <c r="AC111" s="1">
        <f t="shared" si="76"/>
        <v>26451.89</v>
      </c>
      <c r="AD111" s="41">
        <v>28257.73</v>
      </c>
      <c r="AE111" s="1">
        <f t="shared" si="58"/>
        <v>1805.8400000000001</v>
      </c>
      <c r="AF111" s="1">
        <f t="shared" si="59"/>
        <v>28257.73</v>
      </c>
    </row>
    <row r="112" spans="1:32">
      <c r="A112" s="11">
        <v>33700</v>
      </c>
      <c r="B112" s="11">
        <v>12006</v>
      </c>
      <c r="C112" s="11" t="s">
        <v>81</v>
      </c>
      <c r="D112" s="7">
        <v>0</v>
      </c>
      <c r="E112" s="7">
        <v>0</v>
      </c>
      <c r="F112" s="7">
        <f t="shared" si="80"/>
        <v>0</v>
      </c>
      <c r="G112" s="7">
        <v>0</v>
      </c>
      <c r="H112" s="7">
        <f t="shared" si="81"/>
        <v>0</v>
      </c>
      <c r="I112" s="1">
        <v>816.34</v>
      </c>
      <c r="J112" s="1">
        <f t="shared" si="82"/>
        <v>-816.34</v>
      </c>
      <c r="K112" s="1">
        <v>816.34</v>
      </c>
      <c r="L112" s="1">
        <f>H112+K112</f>
        <v>816.34</v>
      </c>
      <c r="M112" s="7">
        <f>501.2-L112</f>
        <v>-315.14000000000004</v>
      </c>
      <c r="N112" s="1">
        <f t="shared" si="77"/>
        <v>501.2</v>
      </c>
      <c r="O112" s="1">
        <v>5576.43</v>
      </c>
      <c r="P112" s="1">
        <f t="shared" si="78"/>
        <v>5075.2300000000005</v>
      </c>
      <c r="Q112" s="1">
        <f t="shared" si="79"/>
        <v>5576.43</v>
      </c>
      <c r="R112" s="1">
        <v>4512.3</v>
      </c>
      <c r="S112" s="1">
        <f t="shared" si="69"/>
        <v>-1064.1300000000001</v>
      </c>
      <c r="T112" s="1">
        <f t="shared" si="70"/>
        <v>4512.3</v>
      </c>
      <c r="U112" s="1">
        <v>6667.11</v>
      </c>
      <c r="V112" s="1">
        <f t="shared" si="71"/>
        <v>2154.8099999999995</v>
      </c>
      <c r="W112" s="1">
        <f t="shared" si="72"/>
        <v>6667.11</v>
      </c>
      <c r="X112" s="1">
        <v>6544.17</v>
      </c>
      <c r="Y112" s="41">
        <f t="shared" si="73"/>
        <v>-122.9399999999996</v>
      </c>
      <c r="Z112" s="1">
        <f t="shared" si="74"/>
        <v>6544.17</v>
      </c>
      <c r="AA112" s="1">
        <v>4768.2</v>
      </c>
      <c r="AB112" s="1">
        <f t="shared" si="75"/>
        <v>-1775.9700000000003</v>
      </c>
      <c r="AC112" s="1">
        <f t="shared" si="76"/>
        <v>4768.2</v>
      </c>
      <c r="AD112" s="41">
        <v>4464.43</v>
      </c>
      <c r="AE112" s="1">
        <f t="shared" si="58"/>
        <v>-303.76999999999953</v>
      </c>
      <c r="AF112" s="1">
        <f t="shared" si="59"/>
        <v>4464.43</v>
      </c>
    </row>
    <row r="113" spans="1:32">
      <c r="A113" s="11">
        <v>33710</v>
      </c>
      <c r="B113" s="11">
        <v>12006</v>
      </c>
      <c r="C113" s="11" t="s">
        <v>81</v>
      </c>
      <c r="D113" s="7">
        <v>0</v>
      </c>
      <c r="E113" s="7">
        <v>4284.58</v>
      </c>
      <c r="F113" s="7">
        <f t="shared" si="80"/>
        <v>-4284.58</v>
      </c>
      <c r="G113" s="7">
        <v>4284.58</v>
      </c>
      <c r="H113" s="7">
        <f t="shared" si="81"/>
        <v>4284.58</v>
      </c>
      <c r="I113" s="7">
        <v>5373.9</v>
      </c>
      <c r="J113" s="7">
        <f t="shared" si="82"/>
        <v>-1089.3199999999997</v>
      </c>
      <c r="K113" s="7">
        <v>1089.32</v>
      </c>
      <c r="L113" s="7">
        <v>5373.9</v>
      </c>
      <c r="M113" s="7">
        <v>0</v>
      </c>
      <c r="N113" s="7">
        <f t="shared" si="77"/>
        <v>5373.9</v>
      </c>
      <c r="O113" s="7">
        <v>5843.05</v>
      </c>
      <c r="P113" s="1">
        <f t="shared" si="78"/>
        <v>469.15000000000055</v>
      </c>
      <c r="Q113" s="1">
        <f t="shared" si="79"/>
        <v>5843.05</v>
      </c>
      <c r="R113" s="1">
        <v>6725.32</v>
      </c>
      <c r="S113" s="1">
        <f t="shared" si="69"/>
        <v>882.26999999999953</v>
      </c>
      <c r="T113" s="1">
        <f t="shared" si="70"/>
        <v>6725.32</v>
      </c>
      <c r="U113" s="1">
        <v>821.67</v>
      </c>
      <c r="V113" s="1">
        <f t="shared" si="71"/>
        <v>-5903.65</v>
      </c>
      <c r="W113" s="1">
        <f t="shared" si="72"/>
        <v>821.67000000000007</v>
      </c>
      <c r="X113" s="1">
        <v>952.33</v>
      </c>
      <c r="Y113" s="41">
        <f t="shared" si="73"/>
        <v>130.65999999999997</v>
      </c>
      <c r="Z113" s="1">
        <f t="shared" si="74"/>
        <v>952.33</v>
      </c>
      <c r="AA113" s="1">
        <v>3525.96</v>
      </c>
      <c r="AB113" s="1">
        <f t="shared" si="75"/>
        <v>2573.63</v>
      </c>
      <c r="AC113" s="1">
        <f t="shared" si="76"/>
        <v>3525.96</v>
      </c>
      <c r="AD113" s="41">
        <v>4143.3900000000003</v>
      </c>
      <c r="AE113" s="1">
        <f t="shared" si="58"/>
        <v>617.43000000000029</v>
      </c>
      <c r="AF113" s="1">
        <f t="shared" si="59"/>
        <v>4143.3900000000003</v>
      </c>
    </row>
    <row r="114" spans="1:32">
      <c r="A114" s="13">
        <v>33800</v>
      </c>
      <c r="B114" s="11">
        <v>12006</v>
      </c>
      <c r="C114" s="11" t="s">
        <v>81</v>
      </c>
      <c r="D114" s="7">
        <v>0</v>
      </c>
      <c r="E114" s="7"/>
      <c r="F114" s="7">
        <f t="shared" si="80"/>
        <v>0</v>
      </c>
      <c r="G114" s="7"/>
      <c r="H114" s="7">
        <f t="shared" si="81"/>
        <v>0</v>
      </c>
      <c r="I114" s="16">
        <v>501.2</v>
      </c>
      <c r="J114" s="16">
        <f t="shared" si="82"/>
        <v>-501.2</v>
      </c>
      <c r="K114" s="16">
        <v>501.2</v>
      </c>
      <c r="L114" s="1">
        <f>H114+K114</f>
        <v>501.2</v>
      </c>
      <c r="M114" s="7">
        <v>0</v>
      </c>
      <c r="N114" s="1">
        <f t="shared" si="77"/>
        <v>501.2</v>
      </c>
      <c r="O114" s="1">
        <v>537</v>
      </c>
      <c r="P114" s="1">
        <f t="shared" si="78"/>
        <v>35.800000000000011</v>
      </c>
      <c r="Q114" s="1">
        <f t="shared" si="79"/>
        <v>537</v>
      </c>
      <c r="R114" s="1">
        <v>751.8</v>
      </c>
      <c r="S114" s="1">
        <f t="shared" si="69"/>
        <v>214.79999999999995</v>
      </c>
      <c r="T114" s="1">
        <f t="shared" si="70"/>
        <v>751.8</v>
      </c>
      <c r="U114" s="1">
        <v>1754.2</v>
      </c>
      <c r="V114" s="1">
        <f t="shared" si="71"/>
        <v>1002.4000000000001</v>
      </c>
      <c r="W114" s="1">
        <f t="shared" si="72"/>
        <v>1754.2</v>
      </c>
      <c r="X114" s="1">
        <v>1554.8</v>
      </c>
      <c r="Y114" s="41">
        <f t="shared" si="73"/>
        <v>-199.40000000000009</v>
      </c>
      <c r="Z114" s="1">
        <f t="shared" si="74"/>
        <v>1554.8</v>
      </c>
      <c r="AA114" s="1">
        <v>1789.55</v>
      </c>
      <c r="AB114" s="1">
        <f t="shared" si="75"/>
        <v>234.75</v>
      </c>
      <c r="AC114" s="1">
        <f t="shared" si="76"/>
        <v>1789.55</v>
      </c>
      <c r="AD114" s="41">
        <v>1038.47</v>
      </c>
      <c r="AE114" s="1">
        <f t="shared" si="58"/>
        <v>-751.07999999999993</v>
      </c>
      <c r="AF114" s="1">
        <f t="shared" si="59"/>
        <v>1038.47</v>
      </c>
    </row>
    <row r="115" spans="1:32">
      <c r="A115" s="11">
        <v>34000</v>
      </c>
      <c r="B115" s="11">
        <v>12006</v>
      </c>
      <c r="C115" s="11" t="s">
        <v>81</v>
      </c>
      <c r="D115" s="7">
        <v>0</v>
      </c>
      <c r="E115" s="7">
        <v>8851.65</v>
      </c>
      <c r="F115" s="7">
        <f t="shared" si="80"/>
        <v>-8851.65</v>
      </c>
      <c r="G115" s="7">
        <v>8851.65</v>
      </c>
      <c r="H115" s="7">
        <f t="shared" si="81"/>
        <v>8851.65</v>
      </c>
      <c r="I115" s="16">
        <v>10341.24</v>
      </c>
      <c r="J115" s="16">
        <f t="shared" si="82"/>
        <v>-1489.5900000000001</v>
      </c>
      <c r="K115" s="16">
        <v>1489.59</v>
      </c>
      <c r="L115" s="1">
        <f>H115+K115</f>
        <v>10341.24</v>
      </c>
      <c r="M115" s="7">
        <f>11710.98-L115</f>
        <v>1369.7399999999998</v>
      </c>
      <c r="N115" s="1">
        <f t="shared" si="77"/>
        <v>11710.98</v>
      </c>
      <c r="O115" s="1">
        <v>11260.49</v>
      </c>
      <c r="P115" s="1">
        <f t="shared" si="78"/>
        <v>-450.48999999999978</v>
      </c>
      <c r="Q115" s="1">
        <f t="shared" si="79"/>
        <v>11260.49</v>
      </c>
      <c r="R115" s="1">
        <v>13466.53</v>
      </c>
      <c r="S115" s="1">
        <f t="shared" si="69"/>
        <v>2206.0400000000009</v>
      </c>
      <c r="T115" s="1">
        <f t="shared" si="70"/>
        <v>13466.53</v>
      </c>
      <c r="U115" s="1">
        <v>14081.95</v>
      </c>
      <c r="V115" s="1">
        <f t="shared" si="71"/>
        <v>615.42000000000007</v>
      </c>
      <c r="W115" s="1">
        <f t="shared" si="72"/>
        <v>14081.95</v>
      </c>
      <c r="X115" s="1">
        <v>14663.14</v>
      </c>
      <c r="Y115" s="41">
        <f t="shared" si="73"/>
        <v>581.18999999999869</v>
      </c>
      <c r="Z115" s="1">
        <f t="shared" si="74"/>
        <v>14663.14</v>
      </c>
      <c r="AA115" s="1">
        <v>10828.34</v>
      </c>
      <c r="AB115" s="1">
        <f t="shared" si="75"/>
        <v>-3834.7999999999993</v>
      </c>
      <c r="AC115" s="1">
        <f t="shared" si="76"/>
        <v>10828.34</v>
      </c>
      <c r="AD115" s="41">
        <v>11400.98</v>
      </c>
      <c r="AE115" s="1">
        <f t="shared" si="58"/>
        <v>572.63999999999942</v>
      </c>
      <c r="AF115" s="1">
        <f t="shared" si="59"/>
        <v>11400.98</v>
      </c>
    </row>
    <row r="116" spans="1:32">
      <c r="A116" s="11">
        <v>43120</v>
      </c>
      <c r="B116" s="11">
        <v>12006</v>
      </c>
      <c r="C116" s="11" t="s">
        <v>81</v>
      </c>
      <c r="D116" s="7">
        <v>0</v>
      </c>
      <c r="E116" s="7">
        <v>4026.27</v>
      </c>
      <c r="F116" s="7">
        <f t="shared" si="80"/>
        <v>-4026.27</v>
      </c>
      <c r="G116" s="7">
        <v>4026.27</v>
      </c>
      <c r="H116" s="7">
        <f t="shared" si="81"/>
        <v>4026.27</v>
      </c>
      <c r="I116" s="10">
        <v>2506</v>
      </c>
      <c r="J116" s="10">
        <f t="shared" si="82"/>
        <v>1520.27</v>
      </c>
      <c r="K116" s="10">
        <v>-1520.27</v>
      </c>
      <c r="L116" s="7">
        <v>2506</v>
      </c>
      <c r="M116" s="10">
        <v>0</v>
      </c>
      <c r="N116" s="7">
        <f t="shared" si="77"/>
        <v>2506</v>
      </c>
      <c r="O116" s="7">
        <v>2506</v>
      </c>
      <c r="P116" s="1">
        <f t="shared" si="78"/>
        <v>0</v>
      </c>
      <c r="Q116" s="1">
        <f t="shared" si="79"/>
        <v>2506</v>
      </c>
      <c r="R116" s="1">
        <v>2595.5</v>
      </c>
      <c r="S116" s="1">
        <f t="shared" si="69"/>
        <v>89.5</v>
      </c>
      <c r="T116" s="1">
        <f t="shared" si="70"/>
        <v>2595.5</v>
      </c>
      <c r="U116" s="1">
        <v>2756.6</v>
      </c>
      <c r="V116" s="1">
        <f t="shared" si="71"/>
        <v>161.09999999999991</v>
      </c>
      <c r="W116" s="1">
        <f t="shared" si="72"/>
        <v>2756.6</v>
      </c>
      <c r="X116" s="1">
        <v>2784.17</v>
      </c>
      <c r="Y116" s="41">
        <f t="shared" si="73"/>
        <v>27.570000000000164</v>
      </c>
      <c r="Z116" s="1">
        <f t="shared" si="74"/>
        <v>2784.17</v>
      </c>
      <c r="AA116" s="1">
        <v>5459.98</v>
      </c>
      <c r="AB116" s="41">
        <f t="shared" si="75"/>
        <v>2675.8099999999995</v>
      </c>
      <c r="AC116" s="1">
        <f t="shared" si="76"/>
        <v>5459.98</v>
      </c>
      <c r="AD116" s="41">
        <v>5915.55</v>
      </c>
      <c r="AE116" s="1">
        <f t="shared" si="58"/>
        <v>455.57000000000062</v>
      </c>
      <c r="AF116" s="1">
        <f t="shared" si="59"/>
        <v>5915.55</v>
      </c>
    </row>
    <row r="117" spans="1:32">
      <c r="A117" s="13">
        <v>43200</v>
      </c>
      <c r="B117" s="11">
        <v>12006</v>
      </c>
      <c r="C117" s="11" t="s">
        <v>81</v>
      </c>
      <c r="D117" s="7">
        <v>0</v>
      </c>
      <c r="E117" s="7">
        <v>8469.58</v>
      </c>
      <c r="F117" s="7">
        <f t="shared" si="80"/>
        <v>-8469.58</v>
      </c>
      <c r="G117" s="7">
        <v>8469.58</v>
      </c>
      <c r="H117" s="7">
        <f t="shared" si="81"/>
        <v>8469.58</v>
      </c>
      <c r="I117" s="16">
        <v>9712.17</v>
      </c>
      <c r="J117" s="16">
        <f t="shared" si="82"/>
        <v>-1242.5900000000001</v>
      </c>
      <c r="K117" s="16">
        <v>1242.5899999999999</v>
      </c>
      <c r="L117" s="1">
        <f>H117+K117</f>
        <v>9712.17</v>
      </c>
      <c r="M117" s="7">
        <f>10409.24-L117</f>
        <v>697.06999999999971</v>
      </c>
      <c r="N117" s="1">
        <f t="shared" si="77"/>
        <v>10409.24</v>
      </c>
      <c r="O117" s="1">
        <v>10995.82</v>
      </c>
      <c r="P117" s="1">
        <f t="shared" si="78"/>
        <v>586.57999999999993</v>
      </c>
      <c r="Q117" s="1">
        <f t="shared" si="79"/>
        <v>10995.82</v>
      </c>
      <c r="R117" s="41">
        <v>12469.25</v>
      </c>
      <c r="S117" s="1">
        <f t="shared" si="69"/>
        <v>1473.4300000000003</v>
      </c>
      <c r="T117" s="1">
        <f t="shared" si="70"/>
        <v>12469.25</v>
      </c>
      <c r="U117" s="41">
        <v>13755.94</v>
      </c>
      <c r="V117" s="1">
        <f t="shared" si="71"/>
        <v>1286.6900000000005</v>
      </c>
      <c r="W117" s="1">
        <f t="shared" si="72"/>
        <v>13755.94</v>
      </c>
      <c r="X117" s="41">
        <v>13979.72</v>
      </c>
      <c r="Y117" s="41">
        <f t="shared" si="73"/>
        <v>223.77999999999884</v>
      </c>
      <c r="Z117" s="1">
        <f t="shared" si="74"/>
        <v>13979.72</v>
      </c>
      <c r="AA117" s="41">
        <v>14893.31</v>
      </c>
      <c r="AB117" s="41">
        <f t="shared" si="75"/>
        <v>913.59000000000015</v>
      </c>
      <c r="AC117" s="1">
        <f t="shared" si="76"/>
        <v>14893.31</v>
      </c>
      <c r="AD117" s="41">
        <v>15898.78</v>
      </c>
      <c r="AE117" s="1">
        <f t="shared" si="58"/>
        <v>1005.4700000000012</v>
      </c>
      <c r="AF117" s="1">
        <f t="shared" si="59"/>
        <v>15898.78</v>
      </c>
    </row>
    <row r="118" spans="1:32">
      <c r="A118" s="13">
        <v>43210</v>
      </c>
      <c r="B118" s="11">
        <v>12006</v>
      </c>
      <c r="C118" s="11" t="s">
        <v>81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"/>
      <c r="S118" s="8"/>
      <c r="T118" s="8"/>
      <c r="U118" s="8"/>
      <c r="V118" s="8"/>
      <c r="W118" s="8"/>
      <c r="X118" s="8"/>
      <c r="Y118" s="8"/>
      <c r="Z118" s="47">
        <v>0</v>
      </c>
      <c r="AA118" s="47">
        <v>730.43</v>
      </c>
      <c r="AB118" s="41">
        <f t="shared" si="75"/>
        <v>730.43</v>
      </c>
      <c r="AC118" s="1">
        <f t="shared" si="76"/>
        <v>730.43</v>
      </c>
      <c r="AD118" s="41">
        <v>778.85</v>
      </c>
      <c r="AE118" s="1">
        <f t="shared" si="58"/>
        <v>48.420000000000073</v>
      </c>
      <c r="AF118" s="1">
        <f t="shared" si="59"/>
        <v>778.85</v>
      </c>
    </row>
    <row r="119" spans="1:32">
      <c r="A119" s="11">
        <v>45900</v>
      </c>
      <c r="B119" s="11">
        <v>12006</v>
      </c>
      <c r="C119" s="11" t="s">
        <v>81</v>
      </c>
      <c r="D119" s="7">
        <v>0</v>
      </c>
      <c r="E119" s="7">
        <v>7401.95</v>
      </c>
      <c r="F119" s="7">
        <f>D119-E119</f>
        <v>-7401.95</v>
      </c>
      <c r="G119" s="7">
        <v>7401.95</v>
      </c>
      <c r="H119" s="7">
        <f>D119+G119</f>
        <v>7401.95</v>
      </c>
      <c r="I119" s="1">
        <v>5518.24</v>
      </c>
      <c r="J119" s="1">
        <f>H119-I119</f>
        <v>1883.71</v>
      </c>
      <c r="K119" s="1">
        <v>-1883.71</v>
      </c>
      <c r="L119" s="1">
        <f>H119+K119</f>
        <v>5518.24</v>
      </c>
      <c r="M119" s="7">
        <f>11130.06-L119</f>
        <v>5611.82</v>
      </c>
      <c r="N119" s="1">
        <f t="shared" ref="N119:N129" si="83">L119+M119</f>
        <v>11130.06</v>
      </c>
      <c r="O119" s="1">
        <v>9907.82</v>
      </c>
      <c r="P119" s="1">
        <f t="shared" ref="P119:P129" si="84">O119-N119</f>
        <v>-1222.2399999999998</v>
      </c>
      <c r="Q119" s="1">
        <f t="shared" ref="Q119:Q129" si="85">N119+P119</f>
        <v>9907.82</v>
      </c>
      <c r="R119" s="41">
        <v>17823.650000000001</v>
      </c>
      <c r="S119" s="1">
        <f t="shared" ref="S119:S148" si="86">R119-Q119</f>
        <v>7915.8300000000017</v>
      </c>
      <c r="T119" s="1">
        <f t="shared" ref="T119:T148" si="87">Q119+S119</f>
        <v>17823.650000000001</v>
      </c>
      <c r="U119" s="1">
        <v>11829.12</v>
      </c>
      <c r="V119" s="1">
        <f t="shared" ref="V119:V148" si="88">U119-T119</f>
        <v>-5994.5300000000007</v>
      </c>
      <c r="W119" s="1">
        <f t="shared" ref="W119:W148" si="89">T119+V119</f>
        <v>11829.12</v>
      </c>
      <c r="X119" s="1">
        <v>12042.66</v>
      </c>
      <c r="Y119" s="41">
        <f t="shared" ref="Y119:Y148" si="90">X119-W119</f>
        <v>213.53999999999905</v>
      </c>
      <c r="Z119" s="1">
        <f t="shared" ref="Z119:Z148" si="91">W119+Y119</f>
        <v>12042.66</v>
      </c>
      <c r="AA119" s="41">
        <v>13476.59</v>
      </c>
      <c r="AB119" s="41">
        <f t="shared" si="75"/>
        <v>1433.9300000000003</v>
      </c>
      <c r="AC119" s="1">
        <f t="shared" si="76"/>
        <v>13476.59</v>
      </c>
      <c r="AD119" s="41">
        <v>13814.32</v>
      </c>
      <c r="AE119" s="1">
        <f t="shared" si="58"/>
        <v>337.72999999999956</v>
      </c>
      <c r="AF119" s="1">
        <f t="shared" si="59"/>
        <v>13814.32</v>
      </c>
    </row>
    <row r="120" spans="1:32">
      <c r="A120" s="11">
        <v>91210</v>
      </c>
      <c r="B120" s="11">
        <v>12006</v>
      </c>
      <c r="C120" s="11" t="s">
        <v>81</v>
      </c>
      <c r="D120" s="7">
        <v>0</v>
      </c>
      <c r="E120" s="7">
        <v>858.65</v>
      </c>
      <c r="F120" s="7">
        <f>D120-E120</f>
        <v>-858.65</v>
      </c>
      <c r="G120" s="7">
        <v>858.65</v>
      </c>
      <c r="H120" s="7">
        <f>D120+G120</f>
        <v>858.65</v>
      </c>
      <c r="I120" s="7">
        <v>1355.62</v>
      </c>
      <c r="J120" s="7">
        <f>H120-I120</f>
        <v>-496.96999999999991</v>
      </c>
      <c r="K120" s="7">
        <v>496.97</v>
      </c>
      <c r="L120" s="7">
        <v>1355.62</v>
      </c>
      <c r="M120" s="7">
        <v>0</v>
      </c>
      <c r="N120" s="7">
        <f t="shared" si="83"/>
        <v>1355.62</v>
      </c>
      <c r="O120" s="7">
        <v>1355.62</v>
      </c>
      <c r="P120" s="1">
        <f t="shared" si="84"/>
        <v>0</v>
      </c>
      <c r="Q120" s="1">
        <f t="shared" si="85"/>
        <v>1355.62</v>
      </c>
      <c r="R120" s="1">
        <v>1434.55</v>
      </c>
      <c r="S120" s="1">
        <f t="shared" si="86"/>
        <v>78.930000000000064</v>
      </c>
      <c r="T120" s="1">
        <f t="shared" si="87"/>
        <v>1434.55</v>
      </c>
      <c r="U120" s="1">
        <v>1723.96</v>
      </c>
      <c r="V120" s="1">
        <f t="shared" si="88"/>
        <v>289.41000000000008</v>
      </c>
      <c r="W120" s="1">
        <f t="shared" si="89"/>
        <v>1723.96</v>
      </c>
      <c r="X120" s="1">
        <v>1741.2</v>
      </c>
      <c r="Y120" s="41">
        <f t="shared" si="90"/>
        <v>17.240000000000009</v>
      </c>
      <c r="Z120" s="1">
        <f t="shared" si="91"/>
        <v>1741.2</v>
      </c>
      <c r="AA120" s="1">
        <v>1839.55</v>
      </c>
      <c r="AB120" s="1">
        <f t="shared" ref="AB120:AB151" si="92">AA120-Z120</f>
        <v>98.349999999999909</v>
      </c>
      <c r="AC120" s="1">
        <f t="shared" ref="AC120:AC151" si="93">Z120+AB120</f>
        <v>1839.55</v>
      </c>
      <c r="AD120" s="41">
        <v>2167.31</v>
      </c>
      <c r="AE120" s="1">
        <f t="shared" si="58"/>
        <v>327.76</v>
      </c>
      <c r="AF120" s="1">
        <f t="shared" si="59"/>
        <v>2167.31</v>
      </c>
    </row>
    <row r="121" spans="1:32">
      <c r="A121" s="11">
        <v>92000</v>
      </c>
      <c r="B121" s="11">
        <v>12006</v>
      </c>
      <c r="C121" s="11" t="s">
        <v>81</v>
      </c>
      <c r="D121" s="7">
        <v>0</v>
      </c>
      <c r="E121" s="7">
        <v>35893.550000000003</v>
      </c>
      <c r="F121" s="7">
        <f>D121-E121</f>
        <v>-35893.550000000003</v>
      </c>
      <c r="G121" s="7">
        <v>35893.550000000003</v>
      </c>
      <c r="H121" s="7">
        <f>D121+G121</f>
        <v>35893.550000000003</v>
      </c>
      <c r="I121" s="1">
        <v>44934.62</v>
      </c>
      <c r="J121" s="1">
        <f>H121-I121</f>
        <v>-9041.07</v>
      </c>
      <c r="K121" s="1">
        <v>9041.07</v>
      </c>
      <c r="L121" s="1">
        <f>H121+K121</f>
        <v>44934.62</v>
      </c>
      <c r="M121" s="7">
        <f>46681.2-L121</f>
        <v>1746.5799999999945</v>
      </c>
      <c r="N121" s="1">
        <f t="shared" si="83"/>
        <v>46681.2</v>
      </c>
      <c r="O121" s="1">
        <v>50535.35</v>
      </c>
      <c r="P121" s="1">
        <f t="shared" si="84"/>
        <v>3854.1500000000015</v>
      </c>
      <c r="Q121" s="1">
        <f t="shared" si="85"/>
        <v>50535.35</v>
      </c>
      <c r="R121" s="1">
        <v>55647.76</v>
      </c>
      <c r="S121" s="1">
        <f t="shared" si="86"/>
        <v>5112.4100000000035</v>
      </c>
      <c r="T121" s="1">
        <f t="shared" si="87"/>
        <v>55647.76</v>
      </c>
      <c r="U121" s="1">
        <v>40056.080000000002</v>
      </c>
      <c r="V121" s="1">
        <f t="shared" si="88"/>
        <v>-15591.68</v>
      </c>
      <c r="W121" s="1">
        <f t="shared" si="89"/>
        <v>40056.080000000002</v>
      </c>
      <c r="X121" s="1">
        <v>41390.6</v>
      </c>
      <c r="Y121" s="41">
        <f t="shared" si="90"/>
        <v>1334.5199999999968</v>
      </c>
      <c r="Z121" s="1">
        <f t="shared" si="91"/>
        <v>41390.6</v>
      </c>
      <c r="AA121" s="1">
        <v>37602.01</v>
      </c>
      <c r="AB121" s="1">
        <f t="shared" si="92"/>
        <v>-3788.5899999999965</v>
      </c>
      <c r="AC121" s="1">
        <f t="shared" si="93"/>
        <v>37602.01</v>
      </c>
      <c r="AD121" s="41">
        <v>40516.17</v>
      </c>
      <c r="AE121" s="1">
        <f t="shared" si="58"/>
        <v>2914.1599999999962</v>
      </c>
      <c r="AF121" s="1">
        <f t="shared" si="59"/>
        <v>40516.17</v>
      </c>
    </row>
    <row r="122" spans="1:32">
      <c r="A122" s="11">
        <v>92010</v>
      </c>
      <c r="B122" s="11">
        <v>12006</v>
      </c>
      <c r="C122" s="11" t="s">
        <v>81</v>
      </c>
      <c r="D122" s="7"/>
      <c r="E122" s="7"/>
      <c r="F122" s="7"/>
      <c r="G122" s="7"/>
      <c r="H122" s="7"/>
      <c r="I122" s="8"/>
      <c r="J122" s="7"/>
      <c r="K122" s="8"/>
      <c r="L122" s="7">
        <v>7056.56</v>
      </c>
      <c r="M122" s="7">
        <v>0</v>
      </c>
      <c r="N122" s="7">
        <f t="shared" si="83"/>
        <v>7056.56</v>
      </c>
      <c r="O122" s="7">
        <v>7424.9</v>
      </c>
      <c r="P122" s="1">
        <f t="shared" si="84"/>
        <v>368.33999999999924</v>
      </c>
      <c r="Q122" s="1">
        <f t="shared" si="85"/>
        <v>7424.9</v>
      </c>
      <c r="R122" s="1">
        <v>7631.3</v>
      </c>
      <c r="S122" s="1">
        <f t="shared" si="86"/>
        <v>206.40000000000055</v>
      </c>
      <c r="T122" s="1">
        <f t="shared" si="87"/>
        <v>7631.3</v>
      </c>
      <c r="U122" s="1">
        <v>8272.6</v>
      </c>
      <c r="V122" s="1">
        <f t="shared" si="88"/>
        <v>641.30000000000018</v>
      </c>
      <c r="W122" s="1">
        <f t="shared" si="89"/>
        <v>8272.6</v>
      </c>
      <c r="X122" s="1">
        <v>8727.35</v>
      </c>
      <c r="Y122" s="41">
        <f t="shared" si="90"/>
        <v>454.75</v>
      </c>
      <c r="Z122" s="1">
        <f t="shared" si="91"/>
        <v>8727.35</v>
      </c>
      <c r="AA122" s="1">
        <v>9026.2900000000009</v>
      </c>
      <c r="AB122" s="1">
        <f t="shared" si="92"/>
        <v>298.94000000000051</v>
      </c>
      <c r="AC122" s="1">
        <f t="shared" si="93"/>
        <v>9026.2900000000009</v>
      </c>
      <c r="AD122" s="41">
        <v>6863.86</v>
      </c>
      <c r="AE122" s="1">
        <f t="shared" si="58"/>
        <v>-2162.4300000000012</v>
      </c>
      <c r="AF122" s="1">
        <f t="shared" si="59"/>
        <v>6863.86</v>
      </c>
    </row>
    <row r="123" spans="1:32">
      <c r="A123" s="11">
        <v>92020</v>
      </c>
      <c r="B123" s="11">
        <v>12006</v>
      </c>
      <c r="C123" s="11" t="s">
        <v>81</v>
      </c>
      <c r="D123" s="7">
        <v>0</v>
      </c>
      <c r="E123" s="7">
        <v>535.57000000000005</v>
      </c>
      <c r="F123" s="7">
        <f t="shared" ref="F123:F129" si="94">D123-E123</f>
        <v>-535.57000000000005</v>
      </c>
      <c r="G123" s="7">
        <v>535.57000000000005</v>
      </c>
      <c r="H123" s="7">
        <f t="shared" ref="H123:H129" si="95">D123+G123</f>
        <v>535.57000000000005</v>
      </c>
      <c r="I123" s="7">
        <v>973.56</v>
      </c>
      <c r="J123" s="7">
        <f t="shared" ref="J123:J129" si="96">H123-I123</f>
        <v>-437.9899999999999</v>
      </c>
      <c r="K123" s="7">
        <v>437.99</v>
      </c>
      <c r="L123" s="7">
        <v>973.56</v>
      </c>
      <c r="M123" s="7">
        <v>0</v>
      </c>
      <c r="N123" s="7">
        <f t="shared" si="83"/>
        <v>973.56</v>
      </c>
      <c r="O123" s="7">
        <v>973.56</v>
      </c>
      <c r="P123" s="1">
        <f t="shared" si="84"/>
        <v>0</v>
      </c>
      <c r="Q123" s="1">
        <f t="shared" si="85"/>
        <v>973.56</v>
      </c>
      <c r="R123" s="1">
        <v>1321.26</v>
      </c>
      <c r="S123" s="1">
        <f t="shared" si="86"/>
        <v>347.70000000000005</v>
      </c>
      <c r="T123" s="1">
        <f t="shared" si="87"/>
        <v>1321.26</v>
      </c>
      <c r="U123" s="1">
        <v>1460.34</v>
      </c>
      <c r="V123" s="1">
        <f t="shared" si="88"/>
        <v>139.07999999999993</v>
      </c>
      <c r="W123" s="1">
        <f t="shared" si="89"/>
        <v>1460.34</v>
      </c>
      <c r="X123" s="1">
        <v>1474.94</v>
      </c>
      <c r="Y123" s="41">
        <f t="shared" si="90"/>
        <v>14.600000000000136</v>
      </c>
      <c r="Z123" s="1">
        <f t="shared" si="91"/>
        <v>1474.94</v>
      </c>
      <c r="AA123" s="1">
        <v>1844.5</v>
      </c>
      <c r="AB123" s="1">
        <f t="shared" si="92"/>
        <v>369.55999999999995</v>
      </c>
      <c r="AC123" s="1">
        <f t="shared" si="93"/>
        <v>1844.5</v>
      </c>
      <c r="AD123" s="41">
        <v>2016.68</v>
      </c>
      <c r="AE123" s="1">
        <f t="shared" si="58"/>
        <v>172.18000000000006</v>
      </c>
      <c r="AF123" s="1">
        <f t="shared" si="59"/>
        <v>2016.68</v>
      </c>
    </row>
    <row r="124" spans="1:32">
      <c r="A124" s="11">
        <v>92400</v>
      </c>
      <c r="B124" s="11">
        <v>12006</v>
      </c>
      <c r="C124" s="11" t="s">
        <v>81</v>
      </c>
      <c r="D124" s="7">
        <v>0</v>
      </c>
      <c r="E124" s="7">
        <v>643.65</v>
      </c>
      <c r="F124" s="7">
        <f t="shared" si="94"/>
        <v>-643.65</v>
      </c>
      <c r="G124" s="7">
        <v>643.65</v>
      </c>
      <c r="H124" s="7">
        <f t="shared" si="95"/>
        <v>643.65</v>
      </c>
      <c r="I124" s="1">
        <v>751.8</v>
      </c>
      <c r="J124" s="1">
        <f t="shared" si="96"/>
        <v>-108.14999999999998</v>
      </c>
      <c r="K124" s="1">
        <v>108.15</v>
      </c>
      <c r="L124" s="1">
        <f>H124+K124</f>
        <v>751.8</v>
      </c>
      <c r="M124" s="7">
        <v>0</v>
      </c>
      <c r="N124" s="1">
        <f t="shared" si="83"/>
        <v>751.8</v>
      </c>
      <c r="O124" s="1">
        <v>823.4</v>
      </c>
      <c r="P124" s="1">
        <f t="shared" si="84"/>
        <v>71.600000000000023</v>
      </c>
      <c r="Q124" s="1">
        <f t="shared" si="85"/>
        <v>823.4</v>
      </c>
      <c r="R124" s="1">
        <v>751.8</v>
      </c>
      <c r="S124" s="1">
        <f t="shared" si="86"/>
        <v>-71.600000000000023</v>
      </c>
      <c r="T124" s="1">
        <f t="shared" si="87"/>
        <v>751.8</v>
      </c>
      <c r="U124" s="1">
        <v>1002.4</v>
      </c>
      <c r="V124" s="1">
        <f t="shared" si="88"/>
        <v>250.60000000000002</v>
      </c>
      <c r="W124" s="1">
        <f t="shared" si="89"/>
        <v>1002.4</v>
      </c>
      <c r="X124" s="1">
        <v>1084.74</v>
      </c>
      <c r="Y124" s="41">
        <f t="shared" si="90"/>
        <v>82.340000000000032</v>
      </c>
      <c r="Z124" s="1">
        <f t="shared" si="91"/>
        <v>1084.74</v>
      </c>
      <c r="AA124" s="1">
        <v>1278.26</v>
      </c>
      <c r="AB124" s="1">
        <f t="shared" si="92"/>
        <v>193.51999999999998</v>
      </c>
      <c r="AC124" s="1">
        <f t="shared" si="93"/>
        <v>1278.26</v>
      </c>
      <c r="AD124" s="41">
        <v>1298.08</v>
      </c>
      <c r="AE124" s="1">
        <f t="shared" si="58"/>
        <v>19.819999999999936</v>
      </c>
      <c r="AF124" s="1">
        <f t="shared" si="59"/>
        <v>1298.08</v>
      </c>
    </row>
    <row r="125" spans="1:32">
      <c r="A125" s="11">
        <v>92600</v>
      </c>
      <c r="B125" s="11">
        <v>12006</v>
      </c>
      <c r="C125" s="11" t="s">
        <v>81</v>
      </c>
      <c r="D125" s="7">
        <v>0</v>
      </c>
      <c r="E125" s="7">
        <v>2785.94</v>
      </c>
      <c r="F125" s="7">
        <f t="shared" si="94"/>
        <v>-2785.94</v>
      </c>
      <c r="G125" s="7">
        <v>2785.94</v>
      </c>
      <c r="H125" s="7">
        <f t="shared" si="95"/>
        <v>2785.94</v>
      </c>
      <c r="I125" s="7">
        <v>5313.98</v>
      </c>
      <c r="J125" s="7">
        <f t="shared" si="96"/>
        <v>-2528.0399999999995</v>
      </c>
      <c r="K125" s="7">
        <v>2528.04</v>
      </c>
      <c r="L125" s="7">
        <v>5313.98</v>
      </c>
      <c r="M125" s="7">
        <f>4827.2-L125</f>
        <v>-486.77999999999975</v>
      </c>
      <c r="N125" s="7">
        <f t="shared" si="83"/>
        <v>4827.2</v>
      </c>
      <c r="O125" s="7">
        <v>4958.75</v>
      </c>
      <c r="P125" s="1">
        <f t="shared" si="84"/>
        <v>131.55000000000018</v>
      </c>
      <c r="Q125" s="1">
        <f t="shared" si="85"/>
        <v>4958.75</v>
      </c>
      <c r="R125" s="1">
        <v>5871.57</v>
      </c>
      <c r="S125" s="1">
        <f t="shared" si="86"/>
        <v>912.81999999999971</v>
      </c>
      <c r="T125" s="1">
        <f t="shared" si="87"/>
        <v>5871.57</v>
      </c>
      <c r="U125" s="1">
        <v>6160.98</v>
      </c>
      <c r="V125" s="1">
        <f t="shared" si="88"/>
        <v>289.40999999999985</v>
      </c>
      <c r="W125" s="1">
        <f t="shared" si="89"/>
        <v>6160.98</v>
      </c>
      <c r="X125" s="1">
        <v>6355.46</v>
      </c>
      <c r="Y125" s="41">
        <f t="shared" si="90"/>
        <v>194.48000000000047</v>
      </c>
      <c r="Z125" s="1">
        <f t="shared" si="91"/>
        <v>6355.46</v>
      </c>
      <c r="AA125" s="1">
        <v>7351.32</v>
      </c>
      <c r="AB125" s="1">
        <f t="shared" si="92"/>
        <v>995.85999999999967</v>
      </c>
      <c r="AC125" s="1">
        <f t="shared" si="93"/>
        <v>7351.32</v>
      </c>
      <c r="AD125" s="41">
        <v>7762.77</v>
      </c>
      <c r="AE125" s="1">
        <f t="shared" si="58"/>
        <v>411.45000000000073</v>
      </c>
      <c r="AF125" s="1">
        <f t="shared" si="59"/>
        <v>7762.77</v>
      </c>
    </row>
    <row r="126" spans="1:32">
      <c r="A126" s="11">
        <v>92900</v>
      </c>
      <c r="B126" s="11">
        <v>12006</v>
      </c>
      <c r="C126" s="11" t="s">
        <v>81</v>
      </c>
      <c r="D126" s="7">
        <v>0</v>
      </c>
      <c r="E126" s="7">
        <v>535.57000000000005</v>
      </c>
      <c r="F126" s="7">
        <f t="shared" si="94"/>
        <v>-535.57000000000005</v>
      </c>
      <c r="G126" s="7">
        <v>535.57000000000005</v>
      </c>
      <c r="H126" s="7">
        <f t="shared" si="95"/>
        <v>535.57000000000005</v>
      </c>
      <c r="I126" s="1">
        <v>1444.8</v>
      </c>
      <c r="J126" s="1">
        <f t="shared" si="96"/>
        <v>-909.2299999999999</v>
      </c>
      <c r="K126" s="1">
        <v>909.23</v>
      </c>
      <c r="L126" s="1">
        <f>H126+K126</f>
        <v>1444.8000000000002</v>
      </c>
      <c r="M126" s="7">
        <f>1999.25-L126</f>
        <v>554.44999999999982</v>
      </c>
      <c r="N126" s="1">
        <f t="shared" si="83"/>
        <v>1999.25</v>
      </c>
      <c r="O126" s="1">
        <v>250.6</v>
      </c>
      <c r="P126" s="1">
        <f t="shared" si="84"/>
        <v>-1748.65</v>
      </c>
      <c r="Q126" s="1">
        <f t="shared" si="85"/>
        <v>250.59999999999991</v>
      </c>
      <c r="R126" s="1">
        <v>1008.8</v>
      </c>
      <c r="S126" s="1">
        <f t="shared" si="86"/>
        <v>758.2</v>
      </c>
      <c r="T126" s="1">
        <f t="shared" si="87"/>
        <v>1008.8</v>
      </c>
      <c r="U126" s="1">
        <v>1396.85</v>
      </c>
      <c r="V126" s="1">
        <f t="shared" si="88"/>
        <v>388.04999999999995</v>
      </c>
      <c r="W126" s="1">
        <f t="shared" si="89"/>
        <v>1396.85</v>
      </c>
      <c r="X126" s="1">
        <v>1712.35</v>
      </c>
      <c r="Y126" s="41">
        <f t="shared" si="90"/>
        <v>315.5</v>
      </c>
      <c r="Z126" s="1">
        <f t="shared" si="91"/>
        <v>1712.35</v>
      </c>
      <c r="AA126" s="1">
        <v>1729.6</v>
      </c>
      <c r="AB126" s="1">
        <f t="shared" si="92"/>
        <v>17.25</v>
      </c>
      <c r="AC126" s="1">
        <f t="shared" si="93"/>
        <v>1729.6</v>
      </c>
      <c r="AD126" s="41">
        <v>2324.9</v>
      </c>
      <c r="AE126" s="1">
        <f t="shared" si="58"/>
        <v>595.30000000000018</v>
      </c>
      <c r="AF126" s="1">
        <f t="shared" si="59"/>
        <v>2324.9</v>
      </c>
    </row>
    <row r="127" spans="1:32">
      <c r="A127" s="11">
        <v>93100</v>
      </c>
      <c r="B127" s="11">
        <v>12006</v>
      </c>
      <c r="C127" s="11" t="s">
        <v>81</v>
      </c>
      <c r="D127" s="7">
        <v>0</v>
      </c>
      <c r="E127" s="7">
        <v>38944.67</v>
      </c>
      <c r="F127" s="7">
        <f t="shared" si="94"/>
        <v>-38944.67</v>
      </c>
      <c r="G127" s="7">
        <v>38944.67</v>
      </c>
      <c r="H127" s="7">
        <f t="shared" si="95"/>
        <v>38944.67</v>
      </c>
      <c r="I127" s="1">
        <v>42909.4</v>
      </c>
      <c r="J127" s="1">
        <f t="shared" si="96"/>
        <v>-3964.7300000000032</v>
      </c>
      <c r="K127" s="1">
        <v>3964.73</v>
      </c>
      <c r="L127" s="1">
        <f>H127+K127</f>
        <v>42909.4</v>
      </c>
      <c r="M127" s="7">
        <f>44802.29-L127</f>
        <v>1892.8899999999994</v>
      </c>
      <c r="N127" s="1">
        <f t="shared" si="83"/>
        <v>44802.29</v>
      </c>
      <c r="O127" s="1">
        <v>42670.16</v>
      </c>
      <c r="P127" s="1">
        <f t="shared" si="84"/>
        <v>-2132.1299999999974</v>
      </c>
      <c r="Q127" s="1">
        <f t="shared" si="85"/>
        <v>42670.16</v>
      </c>
      <c r="R127" s="1">
        <v>45648.639999999999</v>
      </c>
      <c r="S127" s="1">
        <f t="shared" si="86"/>
        <v>2978.4799999999959</v>
      </c>
      <c r="T127" s="1">
        <f t="shared" si="87"/>
        <v>45648.639999999999</v>
      </c>
      <c r="U127" s="1">
        <v>52363.73</v>
      </c>
      <c r="V127" s="1">
        <f t="shared" si="88"/>
        <v>6715.0900000000038</v>
      </c>
      <c r="W127" s="1">
        <f t="shared" si="89"/>
        <v>52363.73</v>
      </c>
      <c r="X127" s="1">
        <v>52592.79</v>
      </c>
      <c r="Y127" s="41">
        <f t="shared" si="90"/>
        <v>229.05999999999767</v>
      </c>
      <c r="Z127" s="1">
        <f t="shared" si="91"/>
        <v>52592.79</v>
      </c>
      <c r="AA127" s="1">
        <v>51830.21</v>
      </c>
      <c r="AB127" s="1">
        <f t="shared" si="92"/>
        <v>-762.58000000000175</v>
      </c>
      <c r="AC127" s="1">
        <f t="shared" si="93"/>
        <v>51830.21</v>
      </c>
      <c r="AD127" s="41">
        <v>54757.45</v>
      </c>
      <c r="AE127" s="1">
        <f t="shared" si="58"/>
        <v>2927.239999999998</v>
      </c>
      <c r="AF127" s="1">
        <f t="shared" si="59"/>
        <v>54757.45</v>
      </c>
    </row>
    <row r="128" spans="1:32">
      <c r="A128" s="11">
        <v>13000</v>
      </c>
      <c r="B128" s="11">
        <v>12100</v>
      </c>
      <c r="C128" s="11" t="s">
        <v>78</v>
      </c>
      <c r="D128" s="7">
        <v>199182.18</v>
      </c>
      <c r="E128" s="7">
        <v>82530.8</v>
      </c>
      <c r="F128" s="7">
        <f t="shared" si="94"/>
        <v>116651.37999999999</v>
      </c>
      <c r="G128" s="7">
        <v>-116651.38</v>
      </c>
      <c r="H128" s="7">
        <f t="shared" si="95"/>
        <v>82530.799999999988</v>
      </c>
      <c r="I128" s="1">
        <v>95858.14</v>
      </c>
      <c r="J128" s="1">
        <f t="shared" si="96"/>
        <v>-13327.340000000011</v>
      </c>
      <c r="K128" s="1">
        <v>13327.34</v>
      </c>
      <c r="L128" s="1">
        <f>H128+K128</f>
        <v>95858.139999999985</v>
      </c>
      <c r="M128" s="7">
        <f>125200.32-L128</f>
        <v>29342.180000000022</v>
      </c>
      <c r="N128" s="1">
        <f t="shared" si="83"/>
        <v>125200.32000000001</v>
      </c>
      <c r="O128" s="1">
        <v>120931.02</v>
      </c>
      <c r="P128" s="1">
        <f t="shared" si="84"/>
        <v>-4269.3000000000029</v>
      </c>
      <c r="Q128" s="1">
        <f t="shared" si="85"/>
        <v>120931.02</v>
      </c>
      <c r="R128" s="1">
        <v>87521.7</v>
      </c>
      <c r="S128" s="1">
        <f t="shared" si="86"/>
        <v>-33409.320000000007</v>
      </c>
      <c r="T128" s="1">
        <f t="shared" si="87"/>
        <v>87521.7</v>
      </c>
      <c r="U128" s="1">
        <v>88779.18</v>
      </c>
      <c r="V128" s="1">
        <f t="shared" si="88"/>
        <v>1257.4799999999959</v>
      </c>
      <c r="W128" s="1">
        <f t="shared" si="89"/>
        <v>88779.18</v>
      </c>
      <c r="X128" s="1">
        <v>89666.96</v>
      </c>
      <c r="Y128" s="41">
        <f t="shared" si="90"/>
        <v>887.78000000001339</v>
      </c>
      <c r="Z128" s="1">
        <f t="shared" si="91"/>
        <v>89666.96</v>
      </c>
      <c r="AA128" s="1">
        <v>106495.08</v>
      </c>
      <c r="AB128" s="1">
        <f t="shared" si="92"/>
        <v>16828.119999999995</v>
      </c>
      <c r="AC128" s="1">
        <f t="shared" si="93"/>
        <v>106495.08</v>
      </c>
      <c r="AD128" s="41">
        <v>116615.34</v>
      </c>
      <c r="AE128" s="1">
        <f t="shared" si="58"/>
        <v>10120.259999999995</v>
      </c>
      <c r="AF128" s="1">
        <f t="shared" si="59"/>
        <v>116615.34</v>
      </c>
    </row>
    <row r="129" spans="1:32">
      <c r="A129" s="11">
        <v>13200</v>
      </c>
      <c r="B129" s="11">
        <v>12100</v>
      </c>
      <c r="C129" s="11" t="s">
        <v>84</v>
      </c>
      <c r="D129" s="7">
        <v>1891816.82</v>
      </c>
      <c r="E129" s="7">
        <v>616953.18999999994</v>
      </c>
      <c r="F129" s="7">
        <f t="shared" si="94"/>
        <v>1274863.6300000001</v>
      </c>
      <c r="G129" s="7">
        <v>-1274863.6299999999</v>
      </c>
      <c r="H129" s="7">
        <f t="shared" si="95"/>
        <v>616953.19000000018</v>
      </c>
      <c r="I129" s="1">
        <v>632200.52</v>
      </c>
      <c r="J129" s="1">
        <f t="shared" si="96"/>
        <v>-15247.329999999842</v>
      </c>
      <c r="K129" s="1">
        <v>15247.33</v>
      </c>
      <c r="L129" s="1">
        <f>H129+K129</f>
        <v>632200.52000000014</v>
      </c>
      <c r="M129" s="7">
        <f>616671.58-L129</f>
        <v>-15528.940000000177</v>
      </c>
      <c r="N129" s="1">
        <f t="shared" si="83"/>
        <v>616671.57999999996</v>
      </c>
      <c r="O129" s="1">
        <v>601537.02</v>
      </c>
      <c r="P129" s="1">
        <f t="shared" si="84"/>
        <v>-15134.559999999939</v>
      </c>
      <c r="Q129" s="1">
        <f t="shared" si="85"/>
        <v>601537.02</v>
      </c>
      <c r="R129" s="1">
        <v>604170.84</v>
      </c>
      <c r="S129" s="1">
        <f t="shared" si="86"/>
        <v>2633.8199999999488</v>
      </c>
      <c r="T129" s="1">
        <f t="shared" si="87"/>
        <v>604170.84</v>
      </c>
      <c r="U129" s="1">
        <v>608858.18000000005</v>
      </c>
      <c r="V129" s="1">
        <f t="shared" si="88"/>
        <v>4687.3400000000838</v>
      </c>
      <c r="W129" s="1">
        <f t="shared" si="89"/>
        <v>608858.18000000005</v>
      </c>
      <c r="X129" s="1">
        <v>620529.21</v>
      </c>
      <c r="Y129" s="41">
        <f t="shared" si="90"/>
        <v>11671.029999999912</v>
      </c>
      <c r="Z129" s="1">
        <f t="shared" si="91"/>
        <v>620529.21</v>
      </c>
      <c r="AA129" s="1">
        <v>673863.25</v>
      </c>
      <c r="AB129" s="1">
        <f t="shared" si="92"/>
        <v>53334.040000000037</v>
      </c>
      <c r="AC129" s="1">
        <f t="shared" si="93"/>
        <v>673863.25</v>
      </c>
      <c r="AD129" s="41">
        <v>682024</v>
      </c>
      <c r="AE129" s="1">
        <f t="shared" si="58"/>
        <v>8160.75</v>
      </c>
      <c r="AF129" s="1">
        <f t="shared" si="59"/>
        <v>682024</v>
      </c>
    </row>
    <row r="130" spans="1:32">
      <c r="A130" s="11">
        <v>13300</v>
      </c>
      <c r="B130" s="11">
        <v>12100</v>
      </c>
      <c r="C130" s="11" t="s">
        <v>695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47">
        <v>0</v>
      </c>
      <c r="R130" s="41">
        <v>21977.48</v>
      </c>
      <c r="S130" s="1">
        <f t="shared" si="86"/>
        <v>21977.48</v>
      </c>
      <c r="T130" s="1">
        <f t="shared" si="87"/>
        <v>21977.48</v>
      </c>
      <c r="U130" s="1">
        <v>21348.74</v>
      </c>
      <c r="V130" s="1">
        <f t="shared" si="88"/>
        <v>-628.73999999999796</v>
      </c>
      <c r="W130" s="1">
        <f t="shared" si="89"/>
        <v>21348.74</v>
      </c>
      <c r="X130" s="41">
        <v>17567.240000000002</v>
      </c>
      <c r="Y130" s="41">
        <f t="shared" si="90"/>
        <v>-3781.5</v>
      </c>
      <c r="Z130" s="1">
        <f t="shared" si="91"/>
        <v>17567.240000000002</v>
      </c>
      <c r="AA130" s="41">
        <v>26454.52</v>
      </c>
      <c r="AB130" s="41">
        <f t="shared" si="92"/>
        <v>8887.2799999999988</v>
      </c>
      <c r="AC130" s="1">
        <f t="shared" si="93"/>
        <v>26454.52</v>
      </c>
      <c r="AD130" s="41">
        <v>26851.62</v>
      </c>
      <c r="AE130" s="1">
        <f t="shared" ref="AE130:AE193" si="97">AD130-AC130</f>
        <v>397.09999999999854</v>
      </c>
      <c r="AF130" s="1">
        <f t="shared" ref="AF130:AF193" si="98">AC130+AE130</f>
        <v>26851.62</v>
      </c>
    </row>
    <row r="131" spans="1:32">
      <c r="A131" s="11">
        <v>15100</v>
      </c>
      <c r="B131" s="11">
        <v>12100</v>
      </c>
      <c r="C131" s="11" t="s">
        <v>91</v>
      </c>
      <c r="D131" s="7">
        <v>616401.30000000005</v>
      </c>
      <c r="E131" s="7">
        <v>252765.71</v>
      </c>
      <c r="F131" s="7">
        <f>D131-E131</f>
        <v>363635.59000000008</v>
      </c>
      <c r="G131" s="7">
        <v>-363635.59</v>
      </c>
      <c r="H131" s="7">
        <f>D131+G131</f>
        <v>252765.71000000002</v>
      </c>
      <c r="I131" s="1">
        <v>207411.26</v>
      </c>
      <c r="J131" s="1">
        <f>H131-I131</f>
        <v>45354.450000000012</v>
      </c>
      <c r="K131" s="1">
        <v>-45354.45</v>
      </c>
      <c r="L131" s="1">
        <f>H131+K131</f>
        <v>207411.26</v>
      </c>
      <c r="M131" s="7">
        <f>189522.9-L131</f>
        <v>-17888.360000000015</v>
      </c>
      <c r="N131" s="1">
        <f t="shared" ref="N131:N148" si="99">L131+M131</f>
        <v>189522.9</v>
      </c>
      <c r="O131" s="1">
        <v>187337.36</v>
      </c>
      <c r="P131" s="1">
        <f t="shared" ref="P131:P148" si="100">O131-N131</f>
        <v>-2185.5400000000081</v>
      </c>
      <c r="Q131" s="1">
        <f t="shared" ref="Q131:Q148" si="101">N131+P131</f>
        <v>187337.36</v>
      </c>
      <c r="R131" s="1">
        <v>192780.42</v>
      </c>
      <c r="S131" s="1">
        <f t="shared" si="86"/>
        <v>5443.0600000000268</v>
      </c>
      <c r="T131" s="1">
        <f t="shared" si="87"/>
        <v>192780.42</v>
      </c>
      <c r="U131" s="1">
        <v>234109.2</v>
      </c>
      <c r="V131" s="1">
        <f t="shared" si="88"/>
        <v>41328.78</v>
      </c>
      <c r="W131" s="1">
        <f t="shared" si="89"/>
        <v>234109.2</v>
      </c>
      <c r="X131" s="1">
        <v>205947.19</v>
      </c>
      <c r="Y131" s="41">
        <f t="shared" si="90"/>
        <v>-28162.010000000009</v>
      </c>
      <c r="Z131" s="1">
        <f t="shared" si="91"/>
        <v>205947.19</v>
      </c>
      <c r="AA131" s="1">
        <v>205739.74</v>
      </c>
      <c r="AB131" s="1">
        <f t="shared" si="92"/>
        <v>-207.45000000001164</v>
      </c>
      <c r="AC131" s="1">
        <f t="shared" si="93"/>
        <v>205739.74</v>
      </c>
      <c r="AD131" s="41">
        <v>192845.12</v>
      </c>
      <c r="AE131" s="1">
        <f t="shared" si="97"/>
        <v>-12894.619999999995</v>
      </c>
      <c r="AF131" s="1">
        <f t="shared" si="98"/>
        <v>192845.12</v>
      </c>
    </row>
    <row r="132" spans="1:32">
      <c r="A132" s="13">
        <v>16400</v>
      </c>
      <c r="B132" s="11">
        <v>12100</v>
      </c>
      <c r="C132" s="11" t="s">
        <v>96</v>
      </c>
      <c r="D132" s="7">
        <v>7995.78</v>
      </c>
      <c r="E132" s="7">
        <v>3568.59</v>
      </c>
      <c r="F132" s="7">
        <f>D132-E132</f>
        <v>4427.1899999999996</v>
      </c>
      <c r="G132" s="7">
        <v>239.87</v>
      </c>
      <c r="H132" s="7">
        <f>D132+G132</f>
        <v>8235.65</v>
      </c>
      <c r="I132" s="16">
        <v>3955.42</v>
      </c>
      <c r="J132" s="1">
        <f>H132-I132</f>
        <v>4280.2299999999996</v>
      </c>
      <c r="K132" s="16">
        <v>-4280.2299999999996</v>
      </c>
      <c r="L132" s="21">
        <f>H132+K132</f>
        <v>3955.42</v>
      </c>
      <c r="M132" s="10">
        <f>13560.96-L132</f>
        <v>9605.5399999999991</v>
      </c>
      <c r="N132" s="1">
        <f t="shared" si="99"/>
        <v>13560.96</v>
      </c>
      <c r="O132" s="1">
        <v>13560.96</v>
      </c>
      <c r="P132" s="1">
        <f t="shared" si="100"/>
        <v>0</v>
      </c>
      <c r="Q132" s="1">
        <f t="shared" si="101"/>
        <v>13560.96</v>
      </c>
      <c r="R132" s="41">
        <f>19211.08-11300.24</f>
        <v>7910.840000000002</v>
      </c>
      <c r="S132" s="1">
        <f t="shared" si="86"/>
        <v>-5650.1199999999972</v>
      </c>
      <c r="T132" s="1">
        <f t="shared" si="87"/>
        <v>7910.840000000002</v>
      </c>
      <c r="U132" s="41">
        <v>11866.26</v>
      </c>
      <c r="V132" s="1">
        <f t="shared" si="88"/>
        <v>3955.4199999999983</v>
      </c>
      <c r="W132" s="1">
        <f t="shared" si="89"/>
        <v>11866.26</v>
      </c>
      <c r="X132" s="41">
        <v>11984.91</v>
      </c>
      <c r="Y132" s="41">
        <f t="shared" si="90"/>
        <v>118.64999999999964</v>
      </c>
      <c r="Z132" s="1">
        <f t="shared" si="91"/>
        <v>11984.91</v>
      </c>
      <c r="AA132" s="41">
        <v>14122.46</v>
      </c>
      <c r="AB132" s="1">
        <f t="shared" si="92"/>
        <v>2137.5499999999993</v>
      </c>
      <c r="AC132" s="1">
        <f t="shared" si="93"/>
        <v>14122.46</v>
      </c>
      <c r="AD132" s="41">
        <v>12286.83</v>
      </c>
      <c r="AE132" s="1">
        <f t="shared" si="97"/>
        <v>-1835.6299999999992</v>
      </c>
      <c r="AF132" s="1">
        <f t="shared" si="98"/>
        <v>12286.83</v>
      </c>
    </row>
    <row r="133" spans="1:32">
      <c r="A133" s="13">
        <v>16500</v>
      </c>
      <c r="B133" s="11">
        <v>12100</v>
      </c>
      <c r="C133" s="11" t="s">
        <v>99</v>
      </c>
      <c r="D133" s="7">
        <v>37077.15</v>
      </c>
      <c r="E133" s="7">
        <v>16485.419999999998</v>
      </c>
      <c r="F133" s="7">
        <f>D133-E133</f>
        <v>20591.730000000003</v>
      </c>
      <c r="G133" s="7">
        <v>-20591.73</v>
      </c>
      <c r="H133" s="10">
        <f>D133+G133</f>
        <v>16485.420000000002</v>
      </c>
      <c r="I133" s="16">
        <v>19541.060000000001</v>
      </c>
      <c r="J133" s="16">
        <f>H133-I133</f>
        <v>-3055.6399999999994</v>
      </c>
      <c r="K133" s="16">
        <v>3055.64</v>
      </c>
      <c r="L133" s="1">
        <f>H133+K133</f>
        <v>19541.060000000001</v>
      </c>
      <c r="M133" s="10">
        <f>12664.82-L133</f>
        <v>-6876.2400000000016</v>
      </c>
      <c r="N133" s="1">
        <f t="shared" si="99"/>
        <v>12664.82</v>
      </c>
      <c r="O133" s="1">
        <v>16620.240000000002</v>
      </c>
      <c r="P133" s="1">
        <f t="shared" si="100"/>
        <v>3955.4200000000019</v>
      </c>
      <c r="Q133" s="1">
        <f t="shared" si="101"/>
        <v>16620.240000000002</v>
      </c>
      <c r="R133" s="41">
        <v>24531.08</v>
      </c>
      <c r="S133" s="1">
        <f t="shared" si="86"/>
        <v>7910.84</v>
      </c>
      <c r="T133" s="1">
        <f t="shared" si="87"/>
        <v>24531.08</v>
      </c>
      <c r="U133" s="41">
        <v>29115.24</v>
      </c>
      <c r="V133" s="1">
        <f t="shared" si="88"/>
        <v>4584.16</v>
      </c>
      <c r="W133" s="1">
        <f t="shared" si="89"/>
        <v>29115.24</v>
      </c>
      <c r="X133" s="41">
        <v>29406.38</v>
      </c>
      <c r="Y133" s="41">
        <f t="shared" si="90"/>
        <v>291.13999999999942</v>
      </c>
      <c r="Z133" s="1">
        <f t="shared" si="91"/>
        <v>29406.38</v>
      </c>
      <c r="AA133" s="41">
        <v>29700.78</v>
      </c>
      <c r="AB133" s="1">
        <f t="shared" si="92"/>
        <v>294.39999999999782</v>
      </c>
      <c r="AC133" s="1">
        <f t="shared" si="93"/>
        <v>29700.78</v>
      </c>
      <c r="AD133" s="41">
        <v>30147.45</v>
      </c>
      <c r="AE133" s="1">
        <f t="shared" si="97"/>
        <v>446.67000000000189</v>
      </c>
      <c r="AF133" s="1">
        <f t="shared" si="98"/>
        <v>30147.45</v>
      </c>
    </row>
    <row r="134" spans="1:32">
      <c r="A134" s="13">
        <v>17000</v>
      </c>
      <c r="B134" s="11">
        <v>12100</v>
      </c>
      <c r="C134" s="11" t="s">
        <v>103</v>
      </c>
      <c r="D134" s="7">
        <v>45159.199999999997</v>
      </c>
      <c r="E134" s="7">
        <v>16485.419999999998</v>
      </c>
      <c r="F134" s="7">
        <f>D134-E134</f>
        <v>28673.78</v>
      </c>
      <c r="G134" s="7">
        <v>-28673.78</v>
      </c>
      <c r="H134" s="7">
        <f>D134+G134</f>
        <v>16485.419999999998</v>
      </c>
      <c r="I134" s="16">
        <v>19215</v>
      </c>
      <c r="J134" s="1">
        <f>H134-I134</f>
        <v>-2729.5800000000017</v>
      </c>
      <c r="K134" s="16">
        <v>2729.58</v>
      </c>
      <c r="L134" s="1">
        <f>H134+K134</f>
        <v>19215</v>
      </c>
      <c r="M134" s="10">
        <f>0</f>
        <v>0</v>
      </c>
      <c r="N134" s="1">
        <f t="shared" si="99"/>
        <v>19215</v>
      </c>
      <c r="O134" s="1">
        <v>19215</v>
      </c>
      <c r="P134" s="1">
        <f t="shared" si="100"/>
        <v>0</v>
      </c>
      <c r="Q134" s="1">
        <f t="shared" si="101"/>
        <v>19215</v>
      </c>
      <c r="R134" s="41">
        <v>26352.76</v>
      </c>
      <c r="S134" s="1">
        <f t="shared" si="86"/>
        <v>7137.7599999999984</v>
      </c>
      <c r="T134" s="1">
        <f t="shared" si="87"/>
        <v>26352.76</v>
      </c>
      <c r="U134" s="41">
        <v>35493.4</v>
      </c>
      <c r="V134" s="1">
        <f t="shared" si="88"/>
        <v>9140.6400000000031</v>
      </c>
      <c r="W134" s="1">
        <f t="shared" si="89"/>
        <v>35493.4</v>
      </c>
      <c r="X134" s="41">
        <v>51170.26</v>
      </c>
      <c r="Y134" s="41">
        <f t="shared" si="90"/>
        <v>15676.86</v>
      </c>
      <c r="Z134" s="1">
        <f t="shared" si="91"/>
        <v>51170.26</v>
      </c>
      <c r="AA134" s="41">
        <v>87847.81</v>
      </c>
      <c r="AB134" s="1">
        <f t="shared" si="92"/>
        <v>36677.549999999996</v>
      </c>
      <c r="AC134" s="1">
        <f t="shared" si="93"/>
        <v>87847.81</v>
      </c>
      <c r="AD134" s="41">
        <v>102430.99</v>
      </c>
      <c r="AE134" s="1">
        <f t="shared" si="97"/>
        <v>14583.180000000008</v>
      </c>
      <c r="AF134" s="1">
        <f t="shared" si="98"/>
        <v>102430.99</v>
      </c>
    </row>
    <row r="135" spans="1:32">
      <c r="A135" s="13">
        <v>17100</v>
      </c>
      <c r="B135" s="11">
        <v>12100</v>
      </c>
      <c r="C135" s="11" t="s">
        <v>153</v>
      </c>
      <c r="D135" s="7">
        <v>68672.160000000003</v>
      </c>
      <c r="E135" s="7">
        <v>26551.81</v>
      </c>
      <c r="F135" s="7">
        <f>D135-E135</f>
        <v>42120.350000000006</v>
      </c>
      <c r="G135" s="7">
        <v>-42120.35</v>
      </c>
      <c r="H135" s="7">
        <f>D135+G135</f>
        <v>26551.810000000005</v>
      </c>
      <c r="I135" s="16">
        <v>33385.24</v>
      </c>
      <c r="J135" s="16">
        <f>H135-I135</f>
        <v>-6833.429999999993</v>
      </c>
      <c r="K135" s="16">
        <v>6833.43</v>
      </c>
      <c r="L135" s="16">
        <f>H135+K135</f>
        <v>33385.240000000005</v>
      </c>
      <c r="M135" s="7">
        <f>38526.6-L135</f>
        <v>5141.3599999999933</v>
      </c>
      <c r="N135" s="1">
        <f t="shared" si="99"/>
        <v>38526.6</v>
      </c>
      <c r="O135" s="1">
        <v>38526.6</v>
      </c>
      <c r="P135" s="1">
        <f t="shared" si="100"/>
        <v>0</v>
      </c>
      <c r="Q135" s="1">
        <f t="shared" si="101"/>
        <v>38526.6</v>
      </c>
      <c r="R135" s="41">
        <f>70798.7-5141.36</f>
        <v>65657.34</v>
      </c>
      <c r="S135" s="1">
        <f t="shared" si="86"/>
        <v>27130.739999999998</v>
      </c>
      <c r="T135" s="1">
        <f t="shared" si="87"/>
        <v>65657.34</v>
      </c>
      <c r="U135" s="1">
        <v>69612.759999999995</v>
      </c>
      <c r="V135" s="1">
        <f t="shared" si="88"/>
        <v>3955.4199999999983</v>
      </c>
      <c r="W135" s="1">
        <f t="shared" si="89"/>
        <v>69612.759999999995</v>
      </c>
      <c r="X135" s="1">
        <v>74938.84</v>
      </c>
      <c r="Y135" s="41">
        <f t="shared" si="90"/>
        <v>5326.0800000000017</v>
      </c>
      <c r="Z135" s="1">
        <f t="shared" si="91"/>
        <v>74938.84</v>
      </c>
      <c r="AA135" s="41">
        <v>80365.81</v>
      </c>
      <c r="AB135" s="1">
        <f t="shared" si="92"/>
        <v>5426.9700000000012</v>
      </c>
      <c r="AC135" s="1">
        <f t="shared" si="93"/>
        <v>80365.81</v>
      </c>
      <c r="AD135" s="41">
        <v>100558.69</v>
      </c>
      <c r="AE135" s="1">
        <f t="shared" si="97"/>
        <v>20192.880000000005</v>
      </c>
      <c r="AF135" s="1">
        <f t="shared" si="98"/>
        <v>100558.69</v>
      </c>
    </row>
    <row r="136" spans="1:32">
      <c r="A136" s="13">
        <v>23110</v>
      </c>
      <c r="B136" s="11">
        <v>12100</v>
      </c>
      <c r="C136" s="11" t="s">
        <v>109</v>
      </c>
      <c r="D136" s="8"/>
      <c r="E136" s="8"/>
      <c r="F136" s="8"/>
      <c r="G136" s="8"/>
      <c r="H136" s="8"/>
      <c r="I136" s="8"/>
      <c r="J136" s="8"/>
      <c r="K136" s="8"/>
      <c r="L136" s="10">
        <v>114589</v>
      </c>
      <c r="M136" s="10">
        <f>102785.34-L136</f>
        <v>-11803.660000000003</v>
      </c>
      <c r="N136" s="7">
        <f t="shared" si="99"/>
        <v>102785.34</v>
      </c>
      <c r="O136" s="7">
        <v>107358.14</v>
      </c>
      <c r="P136" s="1">
        <f t="shared" si="100"/>
        <v>4572.8000000000029</v>
      </c>
      <c r="Q136" s="1">
        <f t="shared" si="101"/>
        <v>107358.14</v>
      </c>
      <c r="R136" s="41">
        <v>123576.88</v>
      </c>
      <c r="S136" s="1">
        <f t="shared" si="86"/>
        <v>16218.740000000005</v>
      </c>
      <c r="T136" s="1">
        <f t="shared" si="87"/>
        <v>123576.88</v>
      </c>
      <c r="U136" s="41">
        <v>132116.46</v>
      </c>
      <c r="V136" s="1">
        <f t="shared" si="88"/>
        <v>8539.5799999999872</v>
      </c>
      <c r="W136" s="1">
        <f t="shared" si="89"/>
        <v>132116.46</v>
      </c>
      <c r="X136" s="41">
        <v>110605.34</v>
      </c>
      <c r="Y136" s="41">
        <f t="shared" si="90"/>
        <v>-21511.119999999995</v>
      </c>
      <c r="Z136" s="1">
        <f t="shared" si="91"/>
        <v>110605.34</v>
      </c>
      <c r="AA136" s="41">
        <v>114958.45</v>
      </c>
      <c r="AB136" s="41">
        <f t="shared" si="92"/>
        <v>4353.1100000000006</v>
      </c>
      <c r="AC136" s="1">
        <f t="shared" si="93"/>
        <v>114958.45</v>
      </c>
      <c r="AD136" s="41">
        <v>138639.34</v>
      </c>
      <c r="AE136" s="1">
        <f t="shared" si="97"/>
        <v>23680.89</v>
      </c>
      <c r="AF136" s="1">
        <f t="shared" si="98"/>
        <v>138639.34</v>
      </c>
    </row>
    <row r="137" spans="1:32">
      <c r="A137" s="13">
        <v>23111</v>
      </c>
      <c r="B137" s="11">
        <v>12100</v>
      </c>
      <c r="C137" s="11" t="s">
        <v>115</v>
      </c>
      <c r="D137" s="7">
        <v>14189.73</v>
      </c>
      <c r="E137" s="7">
        <v>25229.21</v>
      </c>
      <c r="F137" s="7">
        <f t="shared" ref="F137:F148" si="102">D137-E137</f>
        <v>-11039.48</v>
      </c>
      <c r="G137" s="7">
        <v>11039.48</v>
      </c>
      <c r="H137" s="7">
        <f t="shared" ref="H137:H148" si="103">D137+G137</f>
        <v>25229.21</v>
      </c>
      <c r="I137" s="10">
        <v>28475.16</v>
      </c>
      <c r="J137" s="10">
        <f t="shared" ref="J137:J148" si="104">H137-I137</f>
        <v>-3245.9500000000007</v>
      </c>
      <c r="K137" s="10">
        <v>3245.95</v>
      </c>
      <c r="L137" s="7">
        <v>28475.16</v>
      </c>
      <c r="M137" s="10">
        <f>50911.56-L137</f>
        <v>22436.399999999998</v>
      </c>
      <c r="N137" s="7">
        <f t="shared" si="99"/>
        <v>50911.56</v>
      </c>
      <c r="O137" s="7">
        <v>35612.92</v>
      </c>
      <c r="P137" s="1">
        <f t="shared" si="100"/>
        <v>-15298.64</v>
      </c>
      <c r="Q137" s="1">
        <f t="shared" si="101"/>
        <v>35612.92</v>
      </c>
      <c r="R137" s="41">
        <v>48277.74</v>
      </c>
      <c r="S137" s="1">
        <f t="shared" si="86"/>
        <v>12664.82</v>
      </c>
      <c r="T137" s="1">
        <f t="shared" si="87"/>
        <v>48277.74</v>
      </c>
      <c r="U137" s="41">
        <v>48277.74</v>
      </c>
      <c r="V137" s="1">
        <f t="shared" si="88"/>
        <v>0</v>
      </c>
      <c r="W137" s="1">
        <f t="shared" si="89"/>
        <v>48277.74</v>
      </c>
      <c r="X137" s="41">
        <v>50387.34</v>
      </c>
      <c r="Y137" s="41">
        <f t="shared" si="90"/>
        <v>2109.5999999999985</v>
      </c>
      <c r="Z137" s="1">
        <f t="shared" si="91"/>
        <v>50387.34</v>
      </c>
      <c r="AA137" s="41">
        <v>50891.4</v>
      </c>
      <c r="AB137" s="41">
        <f t="shared" si="92"/>
        <v>504.06000000000495</v>
      </c>
      <c r="AC137" s="1">
        <f t="shared" si="93"/>
        <v>50891.4</v>
      </c>
      <c r="AD137" s="41">
        <v>51654.99</v>
      </c>
      <c r="AE137" s="1">
        <f t="shared" si="97"/>
        <v>763.58999999999651</v>
      </c>
      <c r="AF137" s="1">
        <f t="shared" si="98"/>
        <v>51654.99</v>
      </c>
    </row>
    <row r="138" spans="1:32">
      <c r="A138" s="42">
        <v>23113</v>
      </c>
      <c r="B138" s="11">
        <v>12100</v>
      </c>
      <c r="C138" s="11" t="s">
        <v>137</v>
      </c>
      <c r="D138" s="7">
        <v>114625.8</v>
      </c>
      <c r="E138" s="7">
        <v>49323.53</v>
      </c>
      <c r="F138" s="7">
        <f t="shared" si="102"/>
        <v>65302.270000000004</v>
      </c>
      <c r="G138" s="7">
        <v>-65302.27</v>
      </c>
      <c r="H138" s="7">
        <f t="shared" si="103"/>
        <v>49323.530000000006</v>
      </c>
      <c r="I138" s="7">
        <v>190068.4</v>
      </c>
      <c r="J138" s="7">
        <f t="shared" si="104"/>
        <v>-140744.87</v>
      </c>
      <c r="K138" s="7">
        <v>140744.87</v>
      </c>
      <c r="L138" s="7">
        <v>190068.4</v>
      </c>
      <c r="M138" s="7">
        <f>220125.92-L138</f>
        <v>30057.520000000019</v>
      </c>
      <c r="N138" s="7">
        <f t="shared" si="99"/>
        <v>220125.92</v>
      </c>
      <c r="O138" s="7">
        <v>241249.21</v>
      </c>
      <c r="P138" s="1">
        <f t="shared" si="100"/>
        <v>21123.289999999979</v>
      </c>
      <c r="Q138" s="1">
        <f t="shared" si="101"/>
        <v>241249.21</v>
      </c>
      <c r="R138" s="41">
        <f>281047.29-43209.88</f>
        <v>237837.40999999997</v>
      </c>
      <c r="S138" s="1">
        <f t="shared" si="86"/>
        <v>-3411.8000000000175</v>
      </c>
      <c r="T138" s="1">
        <f t="shared" si="87"/>
        <v>237837.40999999997</v>
      </c>
      <c r="U138" s="41">
        <v>275696.02</v>
      </c>
      <c r="V138" s="1">
        <f t="shared" si="88"/>
        <v>37858.610000000044</v>
      </c>
      <c r="W138" s="1">
        <f t="shared" si="89"/>
        <v>275696.02</v>
      </c>
      <c r="X138" s="41">
        <v>302592.39</v>
      </c>
      <c r="Y138" s="41">
        <f t="shared" si="90"/>
        <v>26896.369999999995</v>
      </c>
      <c r="Z138" s="1">
        <f t="shared" si="91"/>
        <v>302592.39</v>
      </c>
      <c r="AA138" s="41">
        <v>292663.49</v>
      </c>
      <c r="AB138" s="41">
        <f t="shared" si="92"/>
        <v>-9928.9000000000233</v>
      </c>
      <c r="AC138" s="1">
        <f t="shared" si="93"/>
        <v>292663.49</v>
      </c>
      <c r="AD138" s="41">
        <v>304513.5</v>
      </c>
      <c r="AE138" s="1">
        <f t="shared" si="97"/>
        <v>11850.010000000009</v>
      </c>
      <c r="AF138" s="1">
        <f t="shared" si="98"/>
        <v>304513.5</v>
      </c>
    </row>
    <row r="139" spans="1:32">
      <c r="A139" s="11">
        <v>32000</v>
      </c>
      <c r="B139" s="11">
        <v>12100</v>
      </c>
      <c r="C139" s="11" t="s">
        <v>140</v>
      </c>
      <c r="D139" s="7">
        <v>50227.05</v>
      </c>
      <c r="E139" s="7">
        <v>24623.77</v>
      </c>
      <c r="F139" s="7">
        <f t="shared" si="102"/>
        <v>25603.280000000002</v>
      </c>
      <c r="G139" s="7">
        <v>-25603.279999999999</v>
      </c>
      <c r="H139" s="7">
        <f t="shared" si="103"/>
        <v>24623.770000000004</v>
      </c>
      <c r="I139" s="1">
        <v>66264.179999999993</v>
      </c>
      <c r="J139" s="1">
        <f t="shared" si="104"/>
        <v>-41640.409999999989</v>
      </c>
      <c r="K139" s="1">
        <v>41640.410000000003</v>
      </c>
      <c r="L139" s="1">
        <f>H139+K139</f>
        <v>66264.180000000008</v>
      </c>
      <c r="M139" s="7">
        <f>68621.98-L139</f>
        <v>2357.7999999999884</v>
      </c>
      <c r="N139" s="1">
        <f t="shared" si="99"/>
        <v>68621.98</v>
      </c>
      <c r="O139" s="1">
        <v>67993.240000000005</v>
      </c>
      <c r="P139" s="1">
        <f t="shared" si="100"/>
        <v>-628.73999999999069</v>
      </c>
      <c r="Q139" s="1">
        <f t="shared" si="101"/>
        <v>67993.240000000005</v>
      </c>
      <c r="R139" s="41">
        <f>80488.24-16441.6</f>
        <v>64046.640000000007</v>
      </c>
      <c r="S139" s="1">
        <f t="shared" si="86"/>
        <v>-3946.5999999999985</v>
      </c>
      <c r="T139" s="1">
        <f t="shared" si="87"/>
        <v>64046.640000000007</v>
      </c>
      <c r="U139" s="41">
        <v>127516.06</v>
      </c>
      <c r="V139" s="1">
        <f t="shared" si="88"/>
        <v>63469.419999999991</v>
      </c>
      <c r="W139" s="1">
        <f t="shared" si="89"/>
        <v>127516.06</v>
      </c>
      <c r="X139" s="41">
        <v>140458.46</v>
      </c>
      <c r="Y139" s="41">
        <f t="shared" si="90"/>
        <v>12942.399999999994</v>
      </c>
      <c r="Z139" s="1">
        <f t="shared" si="91"/>
        <v>140458.46</v>
      </c>
      <c r="AA139" s="41">
        <v>167679.49</v>
      </c>
      <c r="AB139" s="41">
        <f t="shared" si="92"/>
        <v>27221.03</v>
      </c>
      <c r="AC139" s="1">
        <f t="shared" si="93"/>
        <v>167679.49</v>
      </c>
      <c r="AD139" s="41">
        <v>175595.89</v>
      </c>
      <c r="AE139" s="1">
        <f t="shared" si="97"/>
        <v>7916.4000000000233</v>
      </c>
      <c r="AF139" s="1">
        <f t="shared" si="98"/>
        <v>175595.89</v>
      </c>
    </row>
    <row r="140" spans="1:32">
      <c r="A140" s="11">
        <v>33220</v>
      </c>
      <c r="B140" s="11">
        <v>12100</v>
      </c>
      <c r="C140" s="11" t="s">
        <v>122</v>
      </c>
      <c r="D140" s="7">
        <v>50677.59</v>
      </c>
      <c r="E140" s="7">
        <v>22983.22</v>
      </c>
      <c r="F140" s="7">
        <f t="shared" si="102"/>
        <v>27694.369999999995</v>
      </c>
      <c r="G140" s="7">
        <v>-27694.37</v>
      </c>
      <c r="H140" s="7">
        <f t="shared" si="103"/>
        <v>22983.219999999998</v>
      </c>
      <c r="I140" s="1">
        <v>27301.82</v>
      </c>
      <c r="J140" s="1">
        <f t="shared" si="104"/>
        <v>-4318.6000000000022</v>
      </c>
      <c r="K140" s="1">
        <v>4318.6000000000004</v>
      </c>
      <c r="L140" s="1">
        <f>H140+K140</f>
        <v>27301.82</v>
      </c>
      <c r="M140" s="7">
        <f>31001.46-L140</f>
        <v>3699.6399999999994</v>
      </c>
      <c r="N140" s="1">
        <f t="shared" si="99"/>
        <v>31001.46</v>
      </c>
      <c r="O140" s="1">
        <v>31001.46</v>
      </c>
      <c r="P140" s="1">
        <f t="shared" si="100"/>
        <v>0</v>
      </c>
      <c r="Q140" s="1">
        <f t="shared" si="101"/>
        <v>31001.46</v>
      </c>
      <c r="R140" s="1">
        <v>31001.46</v>
      </c>
      <c r="S140" s="1">
        <f t="shared" si="86"/>
        <v>0</v>
      </c>
      <c r="T140" s="1">
        <f t="shared" si="87"/>
        <v>31001.46</v>
      </c>
      <c r="U140" s="1">
        <v>35585.620000000003</v>
      </c>
      <c r="V140" s="1">
        <f t="shared" si="88"/>
        <v>4584.1600000000035</v>
      </c>
      <c r="W140" s="1">
        <f t="shared" si="89"/>
        <v>35585.620000000003</v>
      </c>
      <c r="X140" s="1">
        <v>31311.47</v>
      </c>
      <c r="Y140" s="41">
        <f t="shared" si="90"/>
        <v>-4274.1500000000015</v>
      </c>
      <c r="Z140" s="1">
        <f t="shared" si="91"/>
        <v>31311.47</v>
      </c>
      <c r="AA140" s="1">
        <v>37345.01</v>
      </c>
      <c r="AB140" s="41">
        <f t="shared" si="92"/>
        <v>6033.5400000000009</v>
      </c>
      <c r="AC140" s="1">
        <f t="shared" si="93"/>
        <v>37345.01</v>
      </c>
      <c r="AD140" s="41">
        <v>37906.120000000003</v>
      </c>
      <c r="AE140" s="1">
        <f t="shared" si="97"/>
        <v>561.11000000000058</v>
      </c>
      <c r="AF140" s="1">
        <f t="shared" si="98"/>
        <v>37906.120000000003</v>
      </c>
    </row>
    <row r="141" spans="1:32">
      <c r="A141" s="11">
        <v>33400</v>
      </c>
      <c r="B141" s="11">
        <v>12100</v>
      </c>
      <c r="C141" s="11" t="s">
        <v>125</v>
      </c>
      <c r="D141" s="7">
        <v>64864.38</v>
      </c>
      <c r="E141" s="7">
        <v>21933.48</v>
      </c>
      <c r="F141" s="7">
        <f t="shared" si="102"/>
        <v>42930.899999999994</v>
      </c>
      <c r="G141" s="7">
        <v>-42930.9</v>
      </c>
      <c r="H141" s="7">
        <f t="shared" si="103"/>
        <v>21933.479999999996</v>
      </c>
      <c r="I141" s="1">
        <v>18783.8</v>
      </c>
      <c r="J141" s="1">
        <f t="shared" si="104"/>
        <v>3149.6799999999967</v>
      </c>
      <c r="K141" s="1">
        <v>-3149.68</v>
      </c>
      <c r="L141" s="1">
        <f>H141+K141</f>
        <v>18783.799999999996</v>
      </c>
      <c r="M141" s="7">
        <v>0</v>
      </c>
      <c r="N141" s="1">
        <f t="shared" si="99"/>
        <v>18783.799999999996</v>
      </c>
      <c r="O141" s="1">
        <v>18783.8</v>
      </c>
      <c r="P141" s="1">
        <f t="shared" si="100"/>
        <v>0</v>
      </c>
      <c r="Q141" s="1">
        <f t="shared" si="101"/>
        <v>18783.799999999996</v>
      </c>
      <c r="R141" s="1">
        <v>22739.22</v>
      </c>
      <c r="S141" s="1">
        <f t="shared" si="86"/>
        <v>3955.4200000000055</v>
      </c>
      <c r="T141" s="1">
        <f t="shared" si="87"/>
        <v>22739.22</v>
      </c>
      <c r="U141" s="1">
        <v>26380.2</v>
      </c>
      <c r="V141" s="1">
        <f t="shared" si="88"/>
        <v>3640.9799999999996</v>
      </c>
      <c r="W141" s="1">
        <f t="shared" si="89"/>
        <v>26380.2</v>
      </c>
      <c r="X141" s="1">
        <v>26691.58</v>
      </c>
      <c r="Y141" s="41">
        <f t="shared" si="90"/>
        <v>311.38000000000102</v>
      </c>
      <c r="Z141" s="1">
        <f t="shared" si="91"/>
        <v>26691.58</v>
      </c>
      <c r="AA141" s="1">
        <v>23196.52</v>
      </c>
      <c r="AB141" s="1">
        <f t="shared" si="92"/>
        <v>-3495.0600000000013</v>
      </c>
      <c r="AC141" s="1">
        <f t="shared" si="93"/>
        <v>23196.52</v>
      </c>
      <c r="AD141" s="41">
        <v>19449.09</v>
      </c>
      <c r="AE141" s="1">
        <f t="shared" si="97"/>
        <v>-3747.4300000000003</v>
      </c>
      <c r="AF141" s="1">
        <f t="shared" si="98"/>
        <v>19449.09</v>
      </c>
    </row>
    <row r="142" spans="1:32">
      <c r="A142" s="11">
        <v>33600</v>
      </c>
      <c r="B142" s="11">
        <v>12100</v>
      </c>
      <c r="C142" s="11" t="s">
        <v>131</v>
      </c>
      <c r="D142" s="7">
        <v>142673.26</v>
      </c>
      <c r="E142" s="7">
        <v>55576.52</v>
      </c>
      <c r="F142" s="7">
        <f t="shared" si="102"/>
        <v>87096.74000000002</v>
      </c>
      <c r="G142" s="7">
        <v>-87096.74</v>
      </c>
      <c r="H142" s="7">
        <f t="shared" si="103"/>
        <v>55576.520000000004</v>
      </c>
      <c r="I142" s="1">
        <v>108485.88</v>
      </c>
      <c r="J142" s="1">
        <f t="shared" si="104"/>
        <v>-52909.36</v>
      </c>
      <c r="K142" s="1">
        <v>52909.36</v>
      </c>
      <c r="L142" s="1">
        <f>H142+K142</f>
        <v>108485.88</v>
      </c>
      <c r="M142" s="7">
        <f>94120.88-L142</f>
        <v>-14365</v>
      </c>
      <c r="N142" s="1">
        <f t="shared" si="99"/>
        <v>94120.88</v>
      </c>
      <c r="O142" s="1">
        <v>94120.88</v>
      </c>
      <c r="P142" s="1">
        <f t="shared" si="100"/>
        <v>0</v>
      </c>
      <c r="Q142" s="1">
        <f t="shared" si="101"/>
        <v>94120.88</v>
      </c>
      <c r="R142" s="41">
        <f>103217.66-33391.96</f>
        <v>69825.700000000012</v>
      </c>
      <c r="S142" s="1">
        <f t="shared" si="86"/>
        <v>-24295.179999999993</v>
      </c>
      <c r="T142" s="1">
        <f t="shared" si="87"/>
        <v>69825.700000000012</v>
      </c>
      <c r="U142" s="1">
        <v>65870.28</v>
      </c>
      <c r="V142" s="1">
        <f t="shared" si="88"/>
        <v>-3955.4200000000128</v>
      </c>
      <c r="W142" s="1">
        <f t="shared" si="89"/>
        <v>65870.28</v>
      </c>
      <c r="X142" s="1">
        <v>70523.92</v>
      </c>
      <c r="Y142" s="41">
        <f t="shared" si="90"/>
        <v>4653.6399999999994</v>
      </c>
      <c r="Z142" s="1">
        <f t="shared" si="91"/>
        <v>70523.92</v>
      </c>
      <c r="AA142" s="1">
        <v>75265.23</v>
      </c>
      <c r="AB142" s="1">
        <f t="shared" si="92"/>
        <v>4741.3099999999977</v>
      </c>
      <c r="AC142" s="1">
        <f t="shared" si="93"/>
        <v>75265.23</v>
      </c>
      <c r="AD142" s="41">
        <v>76395.16</v>
      </c>
      <c r="AE142" s="1">
        <f t="shared" si="97"/>
        <v>1129.9300000000076</v>
      </c>
      <c r="AF142" s="1">
        <f t="shared" si="98"/>
        <v>76395.16</v>
      </c>
    </row>
    <row r="143" spans="1:32">
      <c r="A143" s="11">
        <v>33700</v>
      </c>
      <c r="B143" s="11">
        <v>12100</v>
      </c>
      <c r="C143" s="11" t="s">
        <v>142</v>
      </c>
      <c r="D143" s="7">
        <v>28387.54</v>
      </c>
      <c r="E143" s="7">
        <v>4986.49</v>
      </c>
      <c r="F143" s="7">
        <f t="shared" si="102"/>
        <v>23401.050000000003</v>
      </c>
      <c r="G143" s="7">
        <v>-23401.05</v>
      </c>
      <c r="H143" s="7">
        <f t="shared" si="103"/>
        <v>4986.4900000000016</v>
      </c>
      <c r="I143" s="1">
        <v>11977.7</v>
      </c>
      <c r="J143" s="1">
        <f t="shared" si="104"/>
        <v>-6991.2099999999991</v>
      </c>
      <c r="K143" s="1">
        <v>6991.21</v>
      </c>
      <c r="L143" s="1">
        <f>H143+K143</f>
        <v>11977.7</v>
      </c>
      <c r="M143" s="7">
        <f>27870.64-L143</f>
        <v>15892.939999999999</v>
      </c>
      <c r="N143" s="1">
        <f t="shared" si="99"/>
        <v>27870.639999999999</v>
      </c>
      <c r="O143" s="1">
        <v>35951.300000000003</v>
      </c>
      <c r="P143" s="1">
        <f t="shared" si="100"/>
        <v>8080.6600000000035</v>
      </c>
      <c r="Q143" s="1">
        <f t="shared" si="101"/>
        <v>35951.300000000003</v>
      </c>
      <c r="R143" s="1">
        <f>26345.76-5141.36</f>
        <v>21204.399999999998</v>
      </c>
      <c r="S143" s="1">
        <f t="shared" si="86"/>
        <v>-14746.900000000005</v>
      </c>
      <c r="T143" s="1">
        <f t="shared" si="87"/>
        <v>21204.399999999998</v>
      </c>
      <c r="U143" s="1">
        <v>21204.400000000001</v>
      </c>
      <c r="V143" s="1">
        <f t="shared" si="88"/>
        <v>0</v>
      </c>
      <c r="W143" s="1">
        <f t="shared" si="89"/>
        <v>21204.399999999998</v>
      </c>
      <c r="X143" s="1">
        <v>26046.44</v>
      </c>
      <c r="Y143" s="41">
        <f t="shared" si="90"/>
        <v>4842.0400000000009</v>
      </c>
      <c r="Z143" s="1">
        <f t="shared" si="91"/>
        <v>26046.44</v>
      </c>
      <c r="AA143" s="1">
        <v>15632.33</v>
      </c>
      <c r="AB143" s="1">
        <f t="shared" si="92"/>
        <v>-10414.109999999999</v>
      </c>
      <c r="AC143" s="1">
        <f t="shared" si="93"/>
        <v>15632.33</v>
      </c>
      <c r="AD143" s="41">
        <v>16843.259999999998</v>
      </c>
      <c r="AE143" s="1">
        <f t="shared" si="97"/>
        <v>1210.9299999999985</v>
      </c>
      <c r="AF143" s="1">
        <f t="shared" si="98"/>
        <v>16843.259999999998</v>
      </c>
    </row>
    <row r="144" spans="1:32">
      <c r="A144" s="11">
        <v>33710</v>
      </c>
      <c r="B144" s="11">
        <v>12100</v>
      </c>
      <c r="C144" s="11" t="s">
        <v>118</v>
      </c>
      <c r="D144" s="7">
        <v>19220.72</v>
      </c>
      <c r="E144" s="7">
        <v>7363.09</v>
      </c>
      <c r="F144" s="7">
        <f t="shared" si="102"/>
        <v>11857.630000000001</v>
      </c>
      <c r="G144" s="7">
        <v>-11857.63</v>
      </c>
      <c r="H144" s="7">
        <f t="shared" si="103"/>
        <v>7363.090000000002</v>
      </c>
      <c r="I144" s="7">
        <v>8160.88</v>
      </c>
      <c r="J144" s="7">
        <f t="shared" si="104"/>
        <v>-797.78999999999814</v>
      </c>
      <c r="K144" s="7">
        <v>797.79</v>
      </c>
      <c r="L144" s="7">
        <v>8160.88</v>
      </c>
      <c r="M144" s="7">
        <v>0</v>
      </c>
      <c r="N144" s="7">
        <f t="shared" si="99"/>
        <v>8160.88</v>
      </c>
      <c r="O144" s="7">
        <v>8160.88</v>
      </c>
      <c r="P144" s="1">
        <f t="shared" si="100"/>
        <v>0</v>
      </c>
      <c r="Q144" s="1">
        <f t="shared" si="101"/>
        <v>8160.88</v>
      </c>
      <c r="R144" s="1">
        <f>27371.96-11300.24</f>
        <v>16071.72</v>
      </c>
      <c r="S144" s="1">
        <f t="shared" si="86"/>
        <v>7910.8399999999992</v>
      </c>
      <c r="T144" s="1">
        <f t="shared" si="87"/>
        <v>16071.72</v>
      </c>
      <c r="U144" s="1">
        <v>16071.72</v>
      </c>
      <c r="V144" s="1">
        <f t="shared" si="88"/>
        <v>0</v>
      </c>
      <c r="W144" s="1">
        <f t="shared" si="89"/>
        <v>16071.72</v>
      </c>
      <c r="X144" s="1">
        <v>7989.94</v>
      </c>
      <c r="Y144" s="41">
        <f t="shared" si="90"/>
        <v>-8081.78</v>
      </c>
      <c r="Z144" s="1">
        <f t="shared" si="91"/>
        <v>7989.94</v>
      </c>
      <c r="AA144" s="1">
        <v>19386.22</v>
      </c>
      <c r="AB144" s="1">
        <f t="shared" si="92"/>
        <v>11396.280000000002</v>
      </c>
      <c r="AC144" s="1">
        <f t="shared" si="93"/>
        <v>19386.22</v>
      </c>
      <c r="AD144" s="41">
        <v>19677.310000000001</v>
      </c>
      <c r="AE144" s="1">
        <f t="shared" si="97"/>
        <v>291.09000000000015</v>
      </c>
      <c r="AF144" s="1">
        <f t="shared" si="98"/>
        <v>19677.310000000001</v>
      </c>
    </row>
    <row r="145" spans="1:32">
      <c r="A145" s="13">
        <v>33800</v>
      </c>
      <c r="B145" s="11">
        <v>12100</v>
      </c>
      <c r="C145" s="11" t="s">
        <v>144</v>
      </c>
      <c r="D145" s="7">
        <v>11374.27</v>
      </c>
      <c r="E145" s="7">
        <v>0</v>
      </c>
      <c r="F145" s="7">
        <f t="shared" si="102"/>
        <v>11374.27</v>
      </c>
      <c r="G145" s="7">
        <v>-11374.27</v>
      </c>
      <c r="H145" s="7">
        <f t="shared" si="103"/>
        <v>0</v>
      </c>
      <c r="I145" s="16">
        <v>5044.75</v>
      </c>
      <c r="J145" s="16">
        <f t="shared" si="104"/>
        <v>-5044.75</v>
      </c>
      <c r="K145" s="16">
        <v>5044.75</v>
      </c>
      <c r="L145" s="1">
        <f>H145+K145</f>
        <v>5044.75</v>
      </c>
      <c r="M145" s="7">
        <f>4584.16-L145</f>
        <v>-460.59000000000015</v>
      </c>
      <c r="N145" s="1">
        <f t="shared" si="99"/>
        <v>4584.16</v>
      </c>
      <c r="O145" s="1">
        <v>4584.16</v>
      </c>
      <c r="P145" s="1">
        <f t="shared" si="100"/>
        <v>0</v>
      </c>
      <c r="Q145" s="1">
        <f t="shared" si="101"/>
        <v>4584.16</v>
      </c>
      <c r="R145" s="1">
        <v>4584.16</v>
      </c>
      <c r="S145" s="1">
        <f t="shared" si="86"/>
        <v>0</v>
      </c>
      <c r="T145" s="1">
        <f t="shared" si="87"/>
        <v>4584.16</v>
      </c>
      <c r="U145" s="1">
        <v>14695.38</v>
      </c>
      <c r="V145" s="1">
        <f t="shared" si="88"/>
        <v>10111.219999999999</v>
      </c>
      <c r="W145" s="1">
        <f t="shared" si="89"/>
        <v>14695.38</v>
      </c>
      <c r="X145" s="1">
        <v>9260</v>
      </c>
      <c r="Y145" s="41">
        <f t="shared" si="90"/>
        <v>-5435.3799999999992</v>
      </c>
      <c r="Z145" s="1">
        <f t="shared" si="91"/>
        <v>9260</v>
      </c>
      <c r="AA145" s="1">
        <v>14029.14</v>
      </c>
      <c r="AB145" s="1">
        <f t="shared" si="92"/>
        <v>4769.1399999999994</v>
      </c>
      <c r="AC145" s="1">
        <f t="shared" si="93"/>
        <v>14029.14</v>
      </c>
      <c r="AD145" s="41">
        <v>9493.14</v>
      </c>
      <c r="AE145" s="1">
        <f t="shared" si="97"/>
        <v>-4536</v>
      </c>
      <c r="AF145" s="1">
        <f t="shared" si="98"/>
        <v>9493.14</v>
      </c>
    </row>
    <row r="146" spans="1:32">
      <c r="A146" s="11">
        <v>34000</v>
      </c>
      <c r="B146" s="11">
        <v>12100</v>
      </c>
      <c r="C146" s="11" t="s">
        <v>148</v>
      </c>
      <c r="D146" s="7">
        <v>107504.9</v>
      </c>
      <c r="E146" s="7">
        <v>47079.79</v>
      </c>
      <c r="F146" s="7">
        <f t="shared" si="102"/>
        <v>60425.109999999993</v>
      </c>
      <c r="G146" s="7">
        <v>-60425.11</v>
      </c>
      <c r="H146" s="7">
        <f t="shared" si="103"/>
        <v>47079.789999999994</v>
      </c>
      <c r="I146" s="16">
        <v>45966.52</v>
      </c>
      <c r="J146" s="16">
        <f t="shared" si="104"/>
        <v>1113.2699999999968</v>
      </c>
      <c r="K146" s="16">
        <v>-1113.27</v>
      </c>
      <c r="L146" s="1">
        <f>H146+K146</f>
        <v>45966.52</v>
      </c>
      <c r="M146" s="7">
        <f>53687.48-L146</f>
        <v>7720.9600000000064</v>
      </c>
      <c r="N146" s="1">
        <f t="shared" si="99"/>
        <v>53687.48</v>
      </c>
      <c r="O146" s="1">
        <v>37237.06</v>
      </c>
      <c r="P146" s="1">
        <f t="shared" si="100"/>
        <v>-16450.420000000006</v>
      </c>
      <c r="Q146" s="1">
        <f t="shared" si="101"/>
        <v>37237.06</v>
      </c>
      <c r="R146" s="1">
        <f>61346.46-11300.24</f>
        <v>50046.22</v>
      </c>
      <c r="S146" s="1">
        <f t="shared" si="86"/>
        <v>12809.160000000003</v>
      </c>
      <c r="T146" s="1">
        <f t="shared" si="87"/>
        <v>50046.22</v>
      </c>
      <c r="U146" s="1">
        <v>50046.22</v>
      </c>
      <c r="V146" s="1">
        <f t="shared" si="88"/>
        <v>0</v>
      </c>
      <c r="W146" s="1">
        <f t="shared" si="89"/>
        <v>50046.22</v>
      </c>
      <c r="X146" s="1">
        <v>50546.66</v>
      </c>
      <c r="Y146" s="41">
        <f t="shared" si="90"/>
        <v>500.44000000000233</v>
      </c>
      <c r="Z146" s="1">
        <f t="shared" si="91"/>
        <v>50546.66</v>
      </c>
      <c r="AA146" s="1">
        <v>42020.81</v>
      </c>
      <c r="AB146" s="1">
        <f t="shared" si="92"/>
        <v>-8525.8500000000058</v>
      </c>
      <c r="AC146" s="1">
        <f t="shared" si="93"/>
        <v>42020.81</v>
      </c>
      <c r="AD146" s="41">
        <v>41024.42</v>
      </c>
      <c r="AE146" s="1">
        <f t="shared" si="97"/>
        <v>-996.38999999999942</v>
      </c>
      <c r="AF146" s="1">
        <f t="shared" si="98"/>
        <v>41024.42</v>
      </c>
    </row>
    <row r="147" spans="1:32">
      <c r="A147" s="11">
        <v>43120</v>
      </c>
      <c r="B147" s="11">
        <v>12100</v>
      </c>
      <c r="C147" s="11" t="s">
        <v>162</v>
      </c>
      <c r="D147" s="7">
        <v>0</v>
      </c>
      <c r="E147" s="7">
        <v>7704.44</v>
      </c>
      <c r="F147" s="7">
        <f t="shared" si="102"/>
        <v>-7704.44</v>
      </c>
      <c r="G147" s="7">
        <v>7704.44</v>
      </c>
      <c r="H147" s="7">
        <f t="shared" si="103"/>
        <v>7704.44</v>
      </c>
      <c r="I147" s="10">
        <v>5348.19</v>
      </c>
      <c r="J147" s="10">
        <f t="shared" si="104"/>
        <v>2356.25</v>
      </c>
      <c r="K147" s="10">
        <v>-2356.25</v>
      </c>
      <c r="L147" s="7">
        <v>5348.19</v>
      </c>
      <c r="M147" s="10">
        <f>4584.16-L147</f>
        <v>-764.02999999999975</v>
      </c>
      <c r="N147" s="7">
        <f t="shared" si="99"/>
        <v>4584.16</v>
      </c>
      <c r="O147" s="7">
        <v>4584.16</v>
      </c>
      <c r="P147" s="1">
        <f t="shared" si="100"/>
        <v>0</v>
      </c>
      <c r="Q147" s="1">
        <f t="shared" si="101"/>
        <v>4584.16</v>
      </c>
      <c r="R147" s="1">
        <v>4584.16</v>
      </c>
      <c r="S147" s="1">
        <f t="shared" si="86"/>
        <v>0</v>
      </c>
      <c r="T147" s="1">
        <f t="shared" si="87"/>
        <v>4584.16</v>
      </c>
      <c r="U147" s="1">
        <v>4584.16</v>
      </c>
      <c r="V147" s="1">
        <f t="shared" si="88"/>
        <v>0</v>
      </c>
      <c r="W147" s="1">
        <f t="shared" si="89"/>
        <v>4584.16</v>
      </c>
      <c r="X147" s="1">
        <v>4630</v>
      </c>
      <c r="Y147" s="41">
        <f t="shared" si="90"/>
        <v>45.840000000000146</v>
      </c>
      <c r="Z147" s="1">
        <f t="shared" si="91"/>
        <v>4630</v>
      </c>
      <c r="AA147" s="1">
        <v>9352.76</v>
      </c>
      <c r="AB147" s="41">
        <f t="shared" si="92"/>
        <v>4722.76</v>
      </c>
      <c r="AC147" s="1">
        <f t="shared" si="93"/>
        <v>9352.76</v>
      </c>
      <c r="AD147" s="41">
        <v>9493.14</v>
      </c>
      <c r="AE147" s="1">
        <f t="shared" si="97"/>
        <v>140.3799999999992</v>
      </c>
      <c r="AF147" s="1">
        <f t="shared" si="98"/>
        <v>9493.14</v>
      </c>
    </row>
    <row r="148" spans="1:32">
      <c r="A148" s="13">
        <v>43200</v>
      </c>
      <c r="B148" s="11">
        <v>12100</v>
      </c>
      <c r="C148" s="11" t="s">
        <v>182</v>
      </c>
      <c r="D148" s="7">
        <v>86105.63</v>
      </c>
      <c r="E148" s="7">
        <v>30987.4</v>
      </c>
      <c r="F148" s="7">
        <f t="shared" si="102"/>
        <v>55118.23</v>
      </c>
      <c r="G148" s="7">
        <v>-55118.23</v>
      </c>
      <c r="H148" s="7">
        <f t="shared" si="103"/>
        <v>30987.4</v>
      </c>
      <c r="I148" s="16">
        <v>56447.040000000001</v>
      </c>
      <c r="J148" s="16">
        <f t="shared" si="104"/>
        <v>-25459.64</v>
      </c>
      <c r="K148" s="16">
        <v>25459.64</v>
      </c>
      <c r="L148" s="1">
        <f>H148+K148</f>
        <v>56447.040000000001</v>
      </c>
      <c r="M148" s="7">
        <f>55630.54-L148</f>
        <v>-816.5</v>
      </c>
      <c r="N148" s="1">
        <f t="shared" si="99"/>
        <v>55630.54</v>
      </c>
      <c r="O148" s="1">
        <v>55630.54</v>
      </c>
      <c r="P148" s="1">
        <f t="shared" si="100"/>
        <v>0</v>
      </c>
      <c r="Q148" s="1">
        <f t="shared" si="101"/>
        <v>55630.54</v>
      </c>
      <c r="R148" s="41">
        <v>55630.54</v>
      </c>
      <c r="S148" s="1">
        <f t="shared" si="86"/>
        <v>0</v>
      </c>
      <c r="T148" s="1">
        <f t="shared" si="87"/>
        <v>55630.54</v>
      </c>
      <c r="U148" s="41">
        <v>60529.760000000002</v>
      </c>
      <c r="V148" s="1">
        <f t="shared" si="88"/>
        <v>4899.2200000000012</v>
      </c>
      <c r="W148" s="1">
        <f t="shared" si="89"/>
        <v>60529.760000000002</v>
      </c>
      <c r="X148" s="41">
        <v>56186.85</v>
      </c>
      <c r="Y148" s="41">
        <f t="shared" si="90"/>
        <v>-4342.9100000000035</v>
      </c>
      <c r="Z148" s="1">
        <f t="shared" si="91"/>
        <v>56186.85</v>
      </c>
      <c r="AA148" s="41">
        <v>56748.9</v>
      </c>
      <c r="AB148" s="41">
        <f t="shared" si="92"/>
        <v>562.05000000000291</v>
      </c>
      <c r="AC148" s="1">
        <f t="shared" si="93"/>
        <v>56748.9</v>
      </c>
      <c r="AD148" s="41">
        <v>63323.54</v>
      </c>
      <c r="AE148" s="1">
        <f t="shared" si="97"/>
        <v>6574.6399999999994</v>
      </c>
      <c r="AF148" s="1">
        <f t="shared" si="98"/>
        <v>63323.54</v>
      </c>
    </row>
    <row r="149" spans="1:32">
      <c r="A149" s="13">
        <v>43210</v>
      </c>
      <c r="B149" s="11">
        <v>12100</v>
      </c>
      <c r="C149" s="42" t="s">
        <v>878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"/>
      <c r="S149" s="8"/>
      <c r="T149" s="8"/>
      <c r="U149" s="8"/>
      <c r="V149" s="8"/>
      <c r="W149" s="8"/>
      <c r="X149" s="8"/>
      <c r="Y149" s="8"/>
      <c r="Z149" s="47">
        <v>0</v>
      </c>
      <c r="AA149" s="47">
        <v>4997.5</v>
      </c>
      <c r="AB149" s="41">
        <f t="shared" si="92"/>
        <v>4997.5</v>
      </c>
      <c r="AC149" s="1">
        <f t="shared" si="93"/>
        <v>4997.5</v>
      </c>
      <c r="AD149" s="41">
        <v>5072.54</v>
      </c>
      <c r="AE149" s="1">
        <f t="shared" si="97"/>
        <v>75.039999999999964</v>
      </c>
      <c r="AF149" s="1">
        <f t="shared" si="98"/>
        <v>5072.54</v>
      </c>
    </row>
    <row r="150" spans="1:32">
      <c r="A150" s="11">
        <v>45900</v>
      </c>
      <c r="B150" s="11">
        <v>12100</v>
      </c>
      <c r="C150" s="11" t="s">
        <v>185</v>
      </c>
      <c r="D150" s="7">
        <v>80289.05</v>
      </c>
      <c r="E150" s="7">
        <v>26516.37</v>
      </c>
      <c r="F150" s="7">
        <f t="shared" ref="F150:F161" si="105">D150-E150</f>
        <v>53772.680000000008</v>
      </c>
      <c r="G150" s="7">
        <v>-53772.68</v>
      </c>
      <c r="H150" s="7">
        <f t="shared" ref="H150:H161" si="106">D150+G150</f>
        <v>26516.370000000003</v>
      </c>
      <c r="I150" s="1">
        <v>32988.43</v>
      </c>
      <c r="J150" s="1">
        <f t="shared" ref="J150:J161" si="107">H150-I150</f>
        <v>-6472.0599999999977</v>
      </c>
      <c r="K150" s="1">
        <v>6472.06</v>
      </c>
      <c r="L150" s="1">
        <f>H150+K150</f>
        <v>32988.43</v>
      </c>
      <c r="M150" s="7">
        <f>58650.76-L150</f>
        <v>25662.33</v>
      </c>
      <c r="N150" s="1">
        <f t="shared" ref="N150:N161" si="108">L150+M150</f>
        <v>58650.76</v>
      </c>
      <c r="O150" s="1">
        <v>49482.44</v>
      </c>
      <c r="P150" s="1">
        <f t="shared" ref="P150:P161" si="109">O150-N150</f>
        <v>-9168.32</v>
      </c>
      <c r="Q150" s="1">
        <f t="shared" ref="Q150:Q161" si="110">N150+P150</f>
        <v>49482.44</v>
      </c>
      <c r="R150" s="41">
        <v>88853.66</v>
      </c>
      <c r="S150" s="1">
        <f t="shared" ref="S150:S180" si="111">R150-Q150</f>
        <v>39371.22</v>
      </c>
      <c r="T150" s="1">
        <f t="shared" ref="T150:T180" si="112">Q150+S150</f>
        <v>88853.66</v>
      </c>
      <c r="U150" s="1">
        <v>76856.22</v>
      </c>
      <c r="V150" s="1">
        <f t="shared" ref="V150:V180" si="113">U150-T150</f>
        <v>-11997.440000000002</v>
      </c>
      <c r="W150" s="1">
        <f t="shared" ref="W150:W180" si="114">T150+V150</f>
        <v>76856.22</v>
      </c>
      <c r="X150" s="1">
        <v>70269.820000000007</v>
      </c>
      <c r="Y150" s="41">
        <f t="shared" ref="Y150:Y180" si="115">X150-W150</f>
        <v>-6586.3999999999942</v>
      </c>
      <c r="Z150" s="1">
        <f t="shared" ref="Z150:Z180" si="116">W150+Y150</f>
        <v>70269.820000000007</v>
      </c>
      <c r="AA150" s="41">
        <v>79685.11</v>
      </c>
      <c r="AB150" s="41">
        <f t="shared" si="92"/>
        <v>9415.2899999999936</v>
      </c>
      <c r="AC150" s="1">
        <f t="shared" si="93"/>
        <v>79685.11</v>
      </c>
      <c r="AD150" s="41">
        <v>80881.539999999994</v>
      </c>
      <c r="AE150" s="1">
        <f t="shared" si="97"/>
        <v>1196.429999999993</v>
      </c>
      <c r="AF150" s="1">
        <f t="shared" si="98"/>
        <v>80881.539999999994</v>
      </c>
    </row>
    <row r="151" spans="1:32">
      <c r="A151" s="11">
        <v>49300</v>
      </c>
      <c r="B151" s="11">
        <v>12100</v>
      </c>
      <c r="C151" s="11" t="s">
        <v>707</v>
      </c>
      <c r="D151" s="7">
        <v>44934.15</v>
      </c>
      <c r="E151" s="7">
        <v>19982.009999999998</v>
      </c>
      <c r="F151" s="7">
        <f t="shared" si="105"/>
        <v>24952.140000000003</v>
      </c>
      <c r="G151" s="7">
        <v>-24952.14</v>
      </c>
      <c r="H151" s="7">
        <f t="shared" si="106"/>
        <v>19982.010000000002</v>
      </c>
      <c r="I151" s="1">
        <v>24156.3</v>
      </c>
      <c r="J151" s="1">
        <f t="shared" si="107"/>
        <v>-4174.2899999999972</v>
      </c>
      <c r="K151" s="1">
        <v>4174.29</v>
      </c>
      <c r="L151" s="1">
        <f>H151+K151</f>
        <v>24156.300000000003</v>
      </c>
      <c r="M151" s="7">
        <f>20200.88-L151</f>
        <v>-3955.4200000000019</v>
      </c>
      <c r="N151" s="1">
        <f t="shared" si="108"/>
        <v>20200.88</v>
      </c>
      <c r="O151" s="1">
        <v>20200.88</v>
      </c>
      <c r="P151" s="1">
        <f t="shared" si="109"/>
        <v>0</v>
      </c>
      <c r="Q151" s="1">
        <f t="shared" si="110"/>
        <v>20200.88</v>
      </c>
      <c r="R151" s="1">
        <v>20200.88</v>
      </c>
      <c r="S151" s="1">
        <f t="shared" si="111"/>
        <v>0</v>
      </c>
      <c r="T151" s="1">
        <f t="shared" si="112"/>
        <v>20200.88</v>
      </c>
      <c r="U151" s="1">
        <v>15301.86</v>
      </c>
      <c r="V151" s="1">
        <f t="shared" si="113"/>
        <v>-4899.0200000000004</v>
      </c>
      <c r="W151" s="1">
        <f t="shared" si="114"/>
        <v>15301.86</v>
      </c>
      <c r="X151" s="1">
        <v>20084.990000000002</v>
      </c>
      <c r="Y151" s="41">
        <f t="shared" si="115"/>
        <v>4783.130000000001</v>
      </c>
      <c r="Z151" s="1">
        <f t="shared" si="116"/>
        <v>20084.990000000002</v>
      </c>
      <c r="AA151" s="1">
        <v>5638.18</v>
      </c>
      <c r="AB151" s="1">
        <f t="shared" si="92"/>
        <v>-14446.810000000001</v>
      </c>
      <c r="AC151" s="1">
        <f t="shared" si="93"/>
        <v>5638.18</v>
      </c>
      <c r="AD151" s="41">
        <v>5722.79</v>
      </c>
      <c r="AE151" s="1">
        <f t="shared" si="97"/>
        <v>84.609999999999673</v>
      </c>
      <c r="AF151" s="1">
        <f t="shared" si="98"/>
        <v>5722.79</v>
      </c>
    </row>
    <row r="152" spans="1:32">
      <c r="A152" s="11">
        <v>91210</v>
      </c>
      <c r="B152" s="11">
        <v>12100</v>
      </c>
      <c r="C152" s="42" t="s">
        <v>764</v>
      </c>
      <c r="D152" s="7">
        <v>11374.26</v>
      </c>
      <c r="E152" s="7">
        <v>4986.49</v>
      </c>
      <c r="F152" s="7">
        <f t="shared" si="105"/>
        <v>6387.77</v>
      </c>
      <c r="G152" s="7">
        <v>-6387.77</v>
      </c>
      <c r="H152" s="7">
        <f t="shared" si="106"/>
        <v>4986.49</v>
      </c>
      <c r="I152" s="7">
        <v>5527.06</v>
      </c>
      <c r="J152" s="7">
        <f t="shared" si="107"/>
        <v>-540.57000000000062</v>
      </c>
      <c r="K152" s="7">
        <v>540.57000000000005</v>
      </c>
      <c r="L152" s="7">
        <v>5527.06</v>
      </c>
      <c r="M152" s="7">
        <v>0</v>
      </c>
      <c r="N152" s="7">
        <f t="shared" si="108"/>
        <v>5527.06</v>
      </c>
      <c r="O152" s="7">
        <v>5527.06</v>
      </c>
      <c r="P152" s="1">
        <f t="shared" si="109"/>
        <v>0</v>
      </c>
      <c r="Q152" s="1">
        <f t="shared" si="110"/>
        <v>5527.06</v>
      </c>
      <c r="R152" s="1">
        <v>5527.06</v>
      </c>
      <c r="S152" s="1">
        <f t="shared" si="111"/>
        <v>0</v>
      </c>
      <c r="T152" s="1">
        <f t="shared" si="112"/>
        <v>5527.06</v>
      </c>
      <c r="U152" s="1">
        <v>5527.06</v>
      </c>
      <c r="V152" s="1">
        <f t="shared" si="113"/>
        <v>0</v>
      </c>
      <c r="W152" s="1">
        <f t="shared" si="114"/>
        <v>5527.06</v>
      </c>
      <c r="X152" s="1">
        <v>5582.33</v>
      </c>
      <c r="Y152" s="41">
        <f t="shared" si="115"/>
        <v>55.269999999999527</v>
      </c>
      <c r="Z152" s="1">
        <f t="shared" si="116"/>
        <v>5582.33</v>
      </c>
      <c r="AA152" s="1">
        <v>5638.18</v>
      </c>
      <c r="AB152" s="1">
        <f t="shared" ref="AB152:AB183" si="117">AA152-Z152</f>
        <v>55.850000000000364</v>
      </c>
      <c r="AC152" s="1">
        <f t="shared" ref="AC152:AC183" si="118">Z152+AB152</f>
        <v>5638.18</v>
      </c>
      <c r="AD152" s="41">
        <v>5722.79</v>
      </c>
      <c r="AE152" s="1">
        <f t="shared" si="97"/>
        <v>84.609999999999673</v>
      </c>
      <c r="AF152" s="1">
        <f t="shared" si="98"/>
        <v>5722.79</v>
      </c>
    </row>
    <row r="153" spans="1:32">
      <c r="A153" s="11">
        <v>92000</v>
      </c>
      <c r="B153" s="11">
        <v>12100</v>
      </c>
      <c r="C153" s="11" t="s">
        <v>195</v>
      </c>
      <c r="D153" s="7">
        <v>342758.07</v>
      </c>
      <c r="E153" s="7">
        <v>167368.82</v>
      </c>
      <c r="F153" s="7">
        <f t="shared" si="105"/>
        <v>175389.25</v>
      </c>
      <c r="G153" s="7">
        <v>-175389.25</v>
      </c>
      <c r="H153" s="7">
        <f t="shared" si="106"/>
        <v>167368.82</v>
      </c>
      <c r="I153" s="1">
        <v>172719.12</v>
      </c>
      <c r="J153" s="1">
        <f t="shared" si="107"/>
        <v>-5350.2999999999884</v>
      </c>
      <c r="K153" s="1">
        <v>5350.3</v>
      </c>
      <c r="L153" s="1">
        <f>H153+K153</f>
        <v>172719.12</v>
      </c>
      <c r="M153" s="7">
        <f>189280.84-L153</f>
        <v>16561.72</v>
      </c>
      <c r="N153" s="1">
        <f t="shared" si="108"/>
        <v>189280.84</v>
      </c>
      <c r="O153" s="1">
        <v>197699.6</v>
      </c>
      <c r="P153" s="1">
        <f t="shared" si="109"/>
        <v>8418.7600000000093</v>
      </c>
      <c r="Q153" s="1">
        <f t="shared" si="110"/>
        <v>197699.6</v>
      </c>
      <c r="R153" s="1">
        <f>204158.78-20240.92</f>
        <v>183917.86</v>
      </c>
      <c r="S153" s="1">
        <f t="shared" si="111"/>
        <v>-13781.74000000002</v>
      </c>
      <c r="T153" s="1">
        <f t="shared" si="112"/>
        <v>183917.86</v>
      </c>
      <c r="U153" s="1">
        <v>114923.2</v>
      </c>
      <c r="V153" s="1">
        <f t="shared" si="113"/>
        <v>-68994.659999999989</v>
      </c>
      <c r="W153" s="1">
        <f t="shared" si="114"/>
        <v>114923.2</v>
      </c>
      <c r="X153" s="1">
        <v>121137.96</v>
      </c>
      <c r="Y153" s="41">
        <f t="shared" si="115"/>
        <v>6214.7600000000093</v>
      </c>
      <c r="Z153" s="1">
        <f t="shared" si="116"/>
        <v>121137.96</v>
      </c>
      <c r="AA153" s="1">
        <v>117033.07</v>
      </c>
      <c r="AB153" s="1">
        <f t="shared" si="117"/>
        <v>-4104.8899999999994</v>
      </c>
      <c r="AC153" s="1">
        <f t="shared" si="118"/>
        <v>117033.07</v>
      </c>
      <c r="AD153" s="41">
        <v>122089.77</v>
      </c>
      <c r="AE153" s="1">
        <f t="shared" si="97"/>
        <v>5056.6999999999971</v>
      </c>
      <c r="AF153" s="1">
        <f t="shared" si="98"/>
        <v>122089.77</v>
      </c>
    </row>
    <row r="154" spans="1:32">
      <c r="A154" s="11">
        <v>92010</v>
      </c>
      <c r="B154" s="11">
        <v>12100</v>
      </c>
      <c r="C154" s="11" t="s">
        <v>209</v>
      </c>
      <c r="D154" s="7">
        <v>36938.33</v>
      </c>
      <c r="E154" s="7">
        <v>16096.36</v>
      </c>
      <c r="F154" s="7">
        <f t="shared" si="105"/>
        <v>20841.97</v>
      </c>
      <c r="G154" s="7">
        <v>-20841.97</v>
      </c>
      <c r="H154" s="7">
        <f t="shared" si="106"/>
        <v>16096.36</v>
      </c>
      <c r="I154" s="7">
        <v>18783.8</v>
      </c>
      <c r="J154" s="7">
        <f t="shared" si="107"/>
        <v>-2687.4399999999987</v>
      </c>
      <c r="K154" s="7">
        <v>2687.44</v>
      </c>
      <c r="L154" s="7">
        <v>18783.8</v>
      </c>
      <c r="M154" s="7">
        <v>0</v>
      </c>
      <c r="N154" s="7">
        <f t="shared" si="108"/>
        <v>18783.8</v>
      </c>
      <c r="O154" s="7">
        <v>18783.8</v>
      </c>
      <c r="P154" s="1">
        <f t="shared" si="109"/>
        <v>0</v>
      </c>
      <c r="Q154" s="1">
        <f t="shared" si="110"/>
        <v>18783.8</v>
      </c>
      <c r="R154" s="1">
        <v>18783.8</v>
      </c>
      <c r="S154" s="1">
        <f t="shared" si="111"/>
        <v>0</v>
      </c>
      <c r="T154" s="1">
        <f t="shared" si="112"/>
        <v>18783.8</v>
      </c>
      <c r="U154" s="1">
        <v>18783.8</v>
      </c>
      <c r="V154" s="1">
        <f t="shared" si="113"/>
        <v>0</v>
      </c>
      <c r="W154" s="1">
        <f t="shared" si="114"/>
        <v>18783.8</v>
      </c>
      <c r="X154" s="1">
        <v>18971.64</v>
      </c>
      <c r="Y154" s="41">
        <f t="shared" si="115"/>
        <v>187.84000000000015</v>
      </c>
      <c r="Z154" s="1">
        <f t="shared" si="116"/>
        <v>18971.64</v>
      </c>
      <c r="AA154" s="1">
        <v>24799.71</v>
      </c>
      <c r="AB154" s="1">
        <f t="shared" si="117"/>
        <v>5828.07</v>
      </c>
      <c r="AC154" s="1">
        <f t="shared" si="118"/>
        <v>24799.71</v>
      </c>
      <c r="AD154" s="41">
        <v>25171.88</v>
      </c>
      <c r="AE154" s="1">
        <f t="shared" si="97"/>
        <v>372.17000000000189</v>
      </c>
      <c r="AF154" s="1">
        <f t="shared" si="98"/>
        <v>25171.88</v>
      </c>
    </row>
    <row r="155" spans="1:32">
      <c r="A155" s="11">
        <v>92020</v>
      </c>
      <c r="B155" s="11">
        <v>12100</v>
      </c>
      <c r="C155" s="11" t="s">
        <v>206</v>
      </c>
      <c r="D155" s="7">
        <v>14189.73</v>
      </c>
      <c r="E155" s="7">
        <v>6439.82</v>
      </c>
      <c r="F155" s="7">
        <f t="shared" si="105"/>
        <v>7749.91</v>
      </c>
      <c r="G155" s="7">
        <v>-7749.91</v>
      </c>
      <c r="H155" s="7">
        <f t="shared" si="106"/>
        <v>6439.82</v>
      </c>
      <c r="I155" s="7">
        <v>7137.76</v>
      </c>
      <c r="J155" s="7">
        <f t="shared" si="107"/>
        <v>-697.94000000000051</v>
      </c>
      <c r="K155" s="7">
        <v>697.94</v>
      </c>
      <c r="L155" s="7">
        <v>7137.76</v>
      </c>
      <c r="M155" s="7">
        <v>0</v>
      </c>
      <c r="N155" s="7">
        <f t="shared" si="108"/>
        <v>7137.76</v>
      </c>
      <c r="O155" s="7">
        <v>7137.76</v>
      </c>
      <c r="P155" s="1">
        <f t="shared" si="109"/>
        <v>0</v>
      </c>
      <c r="Q155" s="1">
        <f t="shared" si="110"/>
        <v>7137.76</v>
      </c>
      <c r="R155" s="1">
        <v>7137.76</v>
      </c>
      <c r="S155" s="1">
        <f t="shared" si="111"/>
        <v>0</v>
      </c>
      <c r="T155" s="1">
        <f t="shared" si="112"/>
        <v>7137.76</v>
      </c>
      <c r="U155" s="1">
        <v>7137.76</v>
      </c>
      <c r="V155" s="1">
        <f t="shared" si="113"/>
        <v>0</v>
      </c>
      <c r="W155" s="1">
        <f t="shared" si="114"/>
        <v>7137.76</v>
      </c>
      <c r="X155" s="1">
        <v>7209.14</v>
      </c>
      <c r="Y155" s="41">
        <f t="shared" si="115"/>
        <v>71.380000000000109</v>
      </c>
      <c r="Z155" s="1">
        <f t="shared" si="116"/>
        <v>7209.14</v>
      </c>
      <c r="AA155" s="1">
        <v>7803.58</v>
      </c>
      <c r="AB155" s="1">
        <f t="shared" si="117"/>
        <v>594.4399999999996</v>
      </c>
      <c r="AC155" s="1">
        <f t="shared" si="118"/>
        <v>7803.58</v>
      </c>
      <c r="AD155" s="41">
        <v>13644.27</v>
      </c>
      <c r="AE155" s="1">
        <f t="shared" si="97"/>
        <v>5840.6900000000005</v>
      </c>
      <c r="AF155" s="1">
        <f t="shared" si="98"/>
        <v>13644.27</v>
      </c>
    </row>
    <row r="156" spans="1:32">
      <c r="A156" s="11">
        <v>92400</v>
      </c>
      <c r="B156" s="11">
        <v>12100</v>
      </c>
      <c r="C156" s="11" t="s">
        <v>203</v>
      </c>
      <c r="D156" s="7">
        <v>9121.1</v>
      </c>
      <c r="E156" s="7">
        <v>4135.8500000000004</v>
      </c>
      <c r="F156" s="7">
        <f t="shared" si="105"/>
        <v>4985.25</v>
      </c>
      <c r="G156" s="7">
        <v>-4985.25</v>
      </c>
      <c r="H156" s="7">
        <f t="shared" si="106"/>
        <v>4135.8500000000004</v>
      </c>
      <c r="I156" s="1">
        <v>4584.16</v>
      </c>
      <c r="J156" s="1">
        <f t="shared" si="107"/>
        <v>-448.30999999999949</v>
      </c>
      <c r="K156" s="1">
        <v>448.31</v>
      </c>
      <c r="L156" s="1">
        <f>H156+K156</f>
        <v>4584.1600000000008</v>
      </c>
      <c r="M156" s="7">
        <v>0</v>
      </c>
      <c r="N156" s="1">
        <f t="shared" si="108"/>
        <v>4584.1600000000008</v>
      </c>
      <c r="O156" s="1">
        <v>4584.16</v>
      </c>
      <c r="P156" s="1">
        <f t="shared" si="109"/>
        <v>0</v>
      </c>
      <c r="Q156" s="1">
        <f t="shared" si="110"/>
        <v>4584.1600000000008</v>
      </c>
      <c r="R156" s="1">
        <v>4584.16</v>
      </c>
      <c r="S156" s="1">
        <f t="shared" si="111"/>
        <v>0</v>
      </c>
      <c r="T156" s="1">
        <f t="shared" si="112"/>
        <v>4584.1600000000008</v>
      </c>
      <c r="U156" s="1">
        <v>4584.16</v>
      </c>
      <c r="V156" s="1">
        <f t="shared" si="113"/>
        <v>0</v>
      </c>
      <c r="W156" s="1">
        <f t="shared" si="114"/>
        <v>4584.1600000000008</v>
      </c>
      <c r="X156" s="1">
        <v>4630</v>
      </c>
      <c r="Y156" s="41">
        <f t="shared" si="115"/>
        <v>45.839999999999236</v>
      </c>
      <c r="Z156" s="1">
        <f t="shared" si="116"/>
        <v>4630</v>
      </c>
      <c r="AA156" s="1">
        <v>4676.38</v>
      </c>
      <c r="AB156" s="1">
        <f t="shared" si="117"/>
        <v>46.380000000000109</v>
      </c>
      <c r="AC156" s="1">
        <f t="shared" si="118"/>
        <v>4676.38</v>
      </c>
      <c r="AD156" s="41">
        <v>4746.57</v>
      </c>
      <c r="AE156" s="1">
        <f t="shared" si="97"/>
        <v>70.1899999999996</v>
      </c>
      <c r="AF156" s="1">
        <f t="shared" si="98"/>
        <v>4746.57</v>
      </c>
    </row>
    <row r="157" spans="1:32">
      <c r="A157" s="11">
        <v>92600</v>
      </c>
      <c r="B157" s="11">
        <v>12100</v>
      </c>
      <c r="C157" s="11" t="s">
        <v>198</v>
      </c>
      <c r="D157" s="7">
        <v>49261.71</v>
      </c>
      <c r="E157" s="7">
        <v>18792.150000000001</v>
      </c>
      <c r="F157" s="7">
        <f t="shared" si="105"/>
        <v>30469.559999999998</v>
      </c>
      <c r="G157" s="7">
        <v>-30469.56</v>
      </c>
      <c r="H157" s="7">
        <f t="shared" si="106"/>
        <v>18792.149999999998</v>
      </c>
      <c r="I157" s="7">
        <v>20828.919999999998</v>
      </c>
      <c r="J157" s="7">
        <f t="shared" si="107"/>
        <v>-2036.7700000000004</v>
      </c>
      <c r="K157" s="7">
        <v>2036.77</v>
      </c>
      <c r="L157" s="7">
        <v>20828.919999999998</v>
      </c>
      <c r="M157" s="7">
        <v>0</v>
      </c>
      <c r="N157" s="7">
        <f t="shared" si="108"/>
        <v>20828.919999999998</v>
      </c>
      <c r="O157" s="7">
        <v>20828.919999999998</v>
      </c>
      <c r="P157" s="1">
        <f t="shared" si="109"/>
        <v>0</v>
      </c>
      <c r="Q157" s="1">
        <f t="shared" si="110"/>
        <v>20828.919999999998</v>
      </c>
      <c r="R157" s="1">
        <v>20828.919999999998</v>
      </c>
      <c r="S157" s="1">
        <f t="shared" si="111"/>
        <v>0</v>
      </c>
      <c r="T157" s="1">
        <f t="shared" si="112"/>
        <v>20828.919999999998</v>
      </c>
      <c r="U157" s="1">
        <v>20828.919999999998</v>
      </c>
      <c r="V157" s="1">
        <f t="shared" si="113"/>
        <v>0</v>
      </c>
      <c r="W157" s="1">
        <f t="shared" si="114"/>
        <v>20828.919999999998</v>
      </c>
      <c r="X157" s="1">
        <v>21037.21</v>
      </c>
      <c r="Y157" s="41">
        <f t="shared" si="115"/>
        <v>208.29000000000087</v>
      </c>
      <c r="Z157" s="1">
        <f t="shared" si="116"/>
        <v>21037.21</v>
      </c>
      <c r="AA157" s="1">
        <v>21247.75</v>
      </c>
      <c r="AB157" s="1">
        <f t="shared" si="117"/>
        <v>210.54000000000087</v>
      </c>
      <c r="AC157" s="1">
        <f t="shared" si="118"/>
        <v>21247.75</v>
      </c>
      <c r="AD157" s="41">
        <v>21566.65</v>
      </c>
      <c r="AE157" s="1">
        <f t="shared" si="97"/>
        <v>318.90000000000146</v>
      </c>
      <c r="AF157" s="1">
        <f t="shared" si="98"/>
        <v>21566.65</v>
      </c>
    </row>
    <row r="158" spans="1:32">
      <c r="A158" s="11">
        <v>92900</v>
      </c>
      <c r="B158" s="11">
        <v>12100</v>
      </c>
      <c r="C158" s="11" t="s">
        <v>214</v>
      </c>
      <c r="D158" s="7">
        <v>25563.94</v>
      </c>
      <c r="E158" s="7">
        <v>11498.94</v>
      </c>
      <c r="F158" s="7">
        <f t="shared" si="105"/>
        <v>14064.999999999998</v>
      </c>
      <c r="G158" s="7">
        <v>-14065</v>
      </c>
      <c r="H158" s="7">
        <f t="shared" si="106"/>
        <v>11498.939999999999</v>
      </c>
      <c r="I158" s="1">
        <v>12745.04</v>
      </c>
      <c r="J158" s="1">
        <f t="shared" si="107"/>
        <v>-1246.1000000000022</v>
      </c>
      <c r="K158" s="1">
        <v>1246.0999999999999</v>
      </c>
      <c r="L158" s="1">
        <f>H158+K158</f>
        <v>12745.039999999999</v>
      </c>
      <c r="N158" s="1">
        <f t="shared" si="108"/>
        <v>12745.039999999999</v>
      </c>
      <c r="O158" s="1">
        <v>12745.04</v>
      </c>
      <c r="P158" s="1">
        <f t="shared" si="109"/>
        <v>0</v>
      </c>
      <c r="Q158" s="1">
        <f t="shared" si="110"/>
        <v>12745.039999999999</v>
      </c>
      <c r="R158" s="1">
        <v>12745.04</v>
      </c>
      <c r="S158" s="1">
        <f t="shared" si="111"/>
        <v>0</v>
      </c>
      <c r="T158" s="1">
        <f t="shared" si="112"/>
        <v>12745.039999999999</v>
      </c>
      <c r="U158" s="1">
        <v>12745.04</v>
      </c>
      <c r="V158" s="1">
        <f t="shared" si="113"/>
        <v>0</v>
      </c>
      <c r="W158" s="1">
        <f t="shared" si="114"/>
        <v>12745.039999999999</v>
      </c>
      <c r="X158" s="1">
        <v>12872.49</v>
      </c>
      <c r="Y158" s="41">
        <f t="shared" si="115"/>
        <v>127.45000000000073</v>
      </c>
      <c r="Z158" s="1">
        <f t="shared" si="116"/>
        <v>12872.49</v>
      </c>
      <c r="AA158" s="1">
        <v>13001.3</v>
      </c>
      <c r="AB158" s="1">
        <f t="shared" si="117"/>
        <v>128.80999999999949</v>
      </c>
      <c r="AC158" s="1">
        <f t="shared" si="118"/>
        <v>13001.3</v>
      </c>
      <c r="AD158" s="41">
        <v>13196.4</v>
      </c>
      <c r="AE158" s="1">
        <f t="shared" si="97"/>
        <v>195.10000000000036</v>
      </c>
      <c r="AF158" s="1">
        <f t="shared" si="98"/>
        <v>13196.4</v>
      </c>
    </row>
    <row r="159" spans="1:32">
      <c r="A159" s="11">
        <v>93100</v>
      </c>
      <c r="B159" s="11">
        <v>12100</v>
      </c>
      <c r="C159" s="11" t="s">
        <v>220</v>
      </c>
      <c r="D159" s="7">
        <v>376579.88</v>
      </c>
      <c r="E159" s="7">
        <v>148155.17000000001</v>
      </c>
      <c r="F159" s="7">
        <f t="shared" si="105"/>
        <v>228424.71</v>
      </c>
      <c r="G159" s="7">
        <v>-228424.71</v>
      </c>
      <c r="H159" s="7">
        <f t="shared" si="106"/>
        <v>148155.17000000001</v>
      </c>
      <c r="I159" s="1">
        <v>150461.82999999999</v>
      </c>
      <c r="J159" s="1">
        <f t="shared" si="107"/>
        <v>-2306.6599999999744</v>
      </c>
      <c r="K159" s="1">
        <v>2306.66</v>
      </c>
      <c r="L159" s="1">
        <f>H159+K159</f>
        <v>150461.83000000002</v>
      </c>
      <c r="M159" s="7">
        <f>141482.32-L159</f>
        <v>-8979.5100000000093</v>
      </c>
      <c r="N159" s="1">
        <f t="shared" si="108"/>
        <v>141482.32</v>
      </c>
      <c r="O159" s="1">
        <v>134344.56</v>
      </c>
      <c r="P159" s="1">
        <f t="shared" si="109"/>
        <v>-7137.7600000000093</v>
      </c>
      <c r="Q159" s="1">
        <f t="shared" si="110"/>
        <v>134344.56</v>
      </c>
      <c r="R159" s="41">
        <v>133370.16</v>
      </c>
      <c r="S159" s="1">
        <f t="shared" si="111"/>
        <v>-974.39999999999418</v>
      </c>
      <c r="T159" s="1">
        <f t="shared" si="112"/>
        <v>133370.16</v>
      </c>
      <c r="U159" s="41">
        <v>152649.70000000001</v>
      </c>
      <c r="V159" s="1">
        <f t="shared" si="113"/>
        <v>19279.540000000008</v>
      </c>
      <c r="W159" s="1">
        <f t="shared" si="114"/>
        <v>152649.70000000001</v>
      </c>
      <c r="X159" s="41">
        <v>191483.73</v>
      </c>
      <c r="Y159" s="41">
        <f t="shared" si="115"/>
        <v>38834.03</v>
      </c>
      <c r="Z159" s="1">
        <f t="shared" si="116"/>
        <v>191483.73</v>
      </c>
      <c r="AA159" s="41">
        <v>172473.46</v>
      </c>
      <c r="AB159" s="1">
        <f t="shared" si="117"/>
        <v>-19010.270000000019</v>
      </c>
      <c r="AC159" s="1">
        <f t="shared" si="118"/>
        <v>172473.46</v>
      </c>
      <c r="AD159" s="41">
        <v>180476.72</v>
      </c>
      <c r="AE159" s="1">
        <f t="shared" si="97"/>
        <v>8003.2600000000093</v>
      </c>
      <c r="AF159" s="1">
        <f t="shared" si="98"/>
        <v>180476.72</v>
      </c>
    </row>
    <row r="160" spans="1:32">
      <c r="A160" s="11">
        <v>13000</v>
      </c>
      <c r="B160" s="11">
        <v>12101</v>
      </c>
      <c r="C160" s="11" t="s">
        <v>79</v>
      </c>
      <c r="D160" s="7">
        <v>0</v>
      </c>
      <c r="E160" s="7">
        <v>106970.03</v>
      </c>
      <c r="F160" s="7">
        <f t="shared" si="105"/>
        <v>-106970.03</v>
      </c>
      <c r="G160" s="7">
        <v>106970.03</v>
      </c>
      <c r="H160" s="7">
        <f t="shared" si="106"/>
        <v>106970.03</v>
      </c>
      <c r="I160" s="1">
        <v>159734.44</v>
      </c>
      <c r="J160" s="1">
        <f t="shared" si="107"/>
        <v>-52764.41</v>
      </c>
      <c r="K160" s="1">
        <v>52764.41</v>
      </c>
      <c r="L160" s="1">
        <f>H160+K160</f>
        <v>159734.44</v>
      </c>
      <c r="M160" s="7">
        <f>140045.22-L160</f>
        <v>-19689.22</v>
      </c>
      <c r="N160" s="1">
        <f t="shared" si="108"/>
        <v>140045.22</v>
      </c>
      <c r="O160" s="1">
        <v>137647.29999999999</v>
      </c>
      <c r="P160" s="1">
        <f t="shared" si="109"/>
        <v>-2397.9200000000128</v>
      </c>
      <c r="Q160" s="1">
        <f t="shared" si="110"/>
        <v>137647.29999999999</v>
      </c>
      <c r="R160" s="1">
        <v>138727.82</v>
      </c>
      <c r="S160" s="1">
        <f t="shared" si="111"/>
        <v>1080.5200000000186</v>
      </c>
      <c r="T160" s="1">
        <f t="shared" si="112"/>
        <v>138727.82</v>
      </c>
      <c r="U160" s="1">
        <v>138032.57999999999</v>
      </c>
      <c r="V160" s="1">
        <f t="shared" si="113"/>
        <v>-695.24000000001979</v>
      </c>
      <c r="W160" s="1">
        <f t="shared" si="114"/>
        <v>138032.57999999999</v>
      </c>
      <c r="X160" s="1">
        <v>139412.93</v>
      </c>
      <c r="Y160" s="41">
        <f t="shared" si="115"/>
        <v>1380.3500000000058</v>
      </c>
      <c r="Z160" s="1">
        <f t="shared" si="116"/>
        <v>139412.93</v>
      </c>
      <c r="AA160" s="1">
        <v>187331.58</v>
      </c>
      <c r="AB160" s="1">
        <f t="shared" si="117"/>
        <v>47918.649999999994</v>
      </c>
      <c r="AC160" s="1">
        <f t="shared" si="118"/>
        <v>187331.58</v>
      </c>
      <c r="AD160" s="41">
        <v>202490.03</v>
      </c>
      <c r="AE160" s="1">
        <f t="shared" si="97"/>
        <v>15158.450000000012</v>
      </c>
      <c r="AF160" s="1">
        <f t="shared" si="98"/>
        <v>202490.03</v>
      </c>
    </row>
    <row r="161" spans="1:32">
      <c r="A161" s="11">
        <v>13200</v>
      </c>
      <c r="B161" s="11">
        <v>12101</v>
      </c>
      <c r="C161" s="11" t="s">
        <v>628</v>
      </c>
      <c r="D161" s="7">
        <v>0</v>
      </c>
      <c r="E161" s="7">
        <v>1281451.25</v>
      </c>
      <c r="F161" s="7">
        <f t="shared" si="105"/>
        <v>-1281451.25</v>
      </c>
      <c r="G161" s="7">
        <v>1281451.25</v>
      </c>
      <c r="H161" s="7">
        <f t="shared" si="106"/>
        <v>1281451.25</v>
      </c>
      <c r="I161" s="1">
        <v>1387383.06</v>
      </c>
      <c r="J161" s="1">
        <f t="shared" si="107"/>
        <v>-105931.81000000006</v>
      </c>
      <c r="K161" s="1">
        <v>105931.81</v>
      </c>
      <c r="L161" s="1">
        <f>H161+K161</f>
        <v>1387383.06</v>
      </c>
      <c r="M161" s="7">
        <f>1325088.31-L161</f>
        <v>-62294.75</v>
      </c>
      <c r="N161" s="1">
        <f t="shared" si="108"/>
        <v>1325088.31</v>
      </c>
      <c r="O161" s="1">
        <v>1313167.8</v>
      </c>
      <c r="P161" s="1">
        <f t="shared" si="109"/>
        <v>-11920.510000000009</v>
      </c>
      <c r="Q161" s="1">
        <f t="shared" si="110"/>
        <v>1313167.8</v>
      </c>
      <c r="R161" s="1">
        <v>1307758.06</v>
      </c>
      <c r="S161" s="1">
        <f t="shared" si="111"/>
        <v>-5409.7399999999907</v>
      </c>
      <c r="T161" s="1">
        <f t="shared" si="112"/>
        <v>1307758.06</v>
      </c>
      <c r="U161" s="1">
        <v>1313095.28</v>
      </c>
      <c r="V161" s="1">
        <f t="shared" si="113"/>
        <v>5337.2199999999721</v>
      </c>
      <c r="W161" s="1">
        <f t="shared" si="114"/>
        <v>1313095.28</v>
      </c>
      <c r="X161" s="1">
        <v>1315164.54</v>
      </c>
      <c r="Y161" s="41">
        <f t="shared" si="115"/>
        <v>2069.2600000000093</v>
      </c>
      <c r="Z161" s="1">
        <f t="shared" si="116"/>
        <v>1315164.54</v>
      </c>
      <c r="AA161" s="1">
        <v>1419079.18</v>
      </c>
      <c r="AB161" s="1">
        <f t="shared" si="117"/>
        <v>103914.6399999999</v>
      </c>
      <c r="AC161" s="1">
        <f t="shared" si="118"/>
        <v>1419079.18</v>
      </c>
      <c r="AD161" s="41">
        <v>1445819.34</v>
      </c>
      <c r="AE161" s="1">
        <f t="shared" si="97"/>
        <v>26740.160000000149</v>
      </c>
      <c r="AF161" s="1">
        <f t="shared" si="98"/>
        <v>1445819.34</v>
      </c>
    </row>
    <row r="162" spans="1:32">
      <c r="A162" s="11">
        <v>13300</v>
      </c>
      <c r="B162" s="11">
        <v>12101</v>
      </c>
      <c r="C162" s="11" t="s">
        <v>696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47">
        <v>0</v>
      </c>
      <c r="R162" s="41">
        <v>36732.36</v>
      </c>
      <c r="S162" s="1">
        <f t="shared" si="111"/>
        <v>36732.36</v>
      </c>
      <c r="T162" s="1">
        <f t="shared" si="112"/>
        <v>36732.36</v>
      </c>
      <c r="U162" s="1">
        <v>36316.839999999997</v>
      </c>
      <c r="V162" s="1">
        <f t="shared" si="113"/>
        <v>-415.52000000000407</v>
      </c>
      <c r="W162" s="1">
        <f t="shared" si="114"/>
        <v>36316.839999999997</v>
      </c>
      <c r="X162" s="41">
        <v>31487.24</v>
      </c>
      <c r="Y162" s="41">
        <f t="shared" si="115"/>
        <v>-4829.5999999999949</v>
      </c>
      <c r="Z162" s="1">
        <f t="shared" si="116"/>
        <v>31487.24</v>
      </c>
      <c r="AA162" s="41">
        <v>42715.37</v>
      </c>
      <c r="AB162" s="41">
        <f t="shared" si="117"/>
        <v>11228.130000000001</v>
      </c>
      <c r="AC162" s="1">
        <f t="shared" si="118"/>
        <v>42715.37</v>
      </c>
      <c r="AD162" s="41">
        <v>43436.28</v>
      </c>
      <c r="AE162" s="1">
        <f t="shared" si="97"/>
        <v>720.90999999999622</v>
      </c>
      <c r="AF162" s="1">
        <f t="shared" si="98"/>
        <v>43436.28</v>
      </c>
    </row>
    <row r="163" spans="1:32">
      <c r="A163" s="11">
        <v>15100</v>
      </c>
      <c r="B163" s="11">
        <v>12101</v>
      </c>
      <c r="C163" s="11" t="s">
        <v>92</v>
      </c>
      <c r="D163" s="7">
        <v>0</v>
      </c>
      <c r="E163" s="7">
        <v>321808.90000000002</v>
      </c>
      <c r="F163" s="7">
        <f>D163-E163</f>
        <v>-321808.90000000002</v>
      </c>
      <c r="G163" s="7">
        <v>321808.90000000002</v>
      </c>
      <c r="H163" s="7">
        <f>D163+G163</f>
        <v>321808.90000000002</v>
      </c>
      <c r="I163" s="1">
        <v>264641.71999999997</v>
      </c>
      <c r="J163" s="1">
        <f>H163-I163</f>
        <v>57167.180000000051</v>
      </c>
      <c r="K163" s="1">
        <v>-57167.18</v>
      </c>
      <c r="L163" s="1">
        <f>H163+K163</f>
        <v>264641.72000000003</v>
      </c>
      <c r="M163" s="7">
        <f>237352.57-L163</f>
        <v>-27289.150000000023</v>
      </c>
      <c r="N163" s="1">
        <f t="shared" ref="N163:N180" si="119">L163+M163</f>
        <v>237352.57</v>
      </c>
      <c r="O163" s="1">
        <v>233891.84</v>
      </c>
      <c r="P163" s="1">
        <f t="shared" ref="P163:P180" si="120">O163-N163</f>
        <v>-3460.7300000000105</v>
      </c>
      <c r="Q163" s="1">
        <f t="shared" ref="Q163:Q180" si="121">N163+P163</f>
        <v>233891.84</v>
      </c>
      <c r="R163" s="1">
        <v>255894.66</v>
      </c>
      <c r="S163" s="1">
        <f t="shared" si="111"/>
        <v>22002.820000000007</v>
      </c>
      <c r="T163" s="1">
        <f t="shared" si="112"/>
        <v>255894.66</v>
      </c>
      <c r="U163" s="1">
        <v>302020.14</v>
      </c>
      <c r="V163" s="1">
        <f t="shared" si="113"/>
        <v>46125.48000000001</v>
      </c>
      <c r="W163" s="1">
        <f t="shared" si="114"/>
        <v>302020.14</v>
      </c>
      <c r="X163" s="1">
        <v>257834.12</v>
      </c>
      <c r="Y163" s="41">
        <f t="shared" si="115"/>
        <v>-44186.020000000019</v>
      </c>
      <c r="Z163" s="1">
        <f t="shared" si="116"/>
        <v>257834.12</v>
      </c>
      <c r="AA163" s="1">
        <v>288965.71000000002</v>
      </c>
      <c r="AB163" s="1">
        <f t="shared" si="117"/>
        <v>31131.590000000026</v>
      </c>
      <c r="AC163" s="1">
        <f t="shared" si="118"/>
        <v>288965.71000000002</v>
      </c>
      <c r="AD163" s="41">
        <v>268577.34000000003</v>
      </c>
      <c r="AE163" s="1">
        <f t="shared" si="97"/>
        <v>-20388.369999999995</v>
      </c>
      <c r="AF163" s="1">
        <f t="shared" si="98"/>
        <v>268577.34000000003</v>
      </c>
    </row>
    <row r="164" spans="1:32">
      <c r="A164" s="13">
        <v>16400</v>
      </c>
      <c r="B164" s="11">
        <v>12101</v>
      </c>
      <c r="C164" s="11" t="s">
        <v>97</v>
      </c>
      <c r="D164" s="10">
        <v>0</v>
      </c>
      <c r="E164" s="10">
        <v>4451.18</v>
      </c>
      <c r="F164" s="7">
        <f>D164-E164</f>
        <v>-4451.18</v>
      </c>
      <c r="G164" s="10">
        <v>4451.18</v>
      </c>
      <c r="H164" s="7">
        <f>D164+G164</f>
        <v>4451.18</v>
      </c>
      <c r="I164" s="10">
        <v>5650.12</v>
      </c>
      <c r="J164" s="7">
        <f>H164-I164</f>
        <v>-1198.9399999999996</v>
      </c>
      <c r="K164" s="10">
        <v>1198.94</v>
      </c>
      <c r="L164" s="20">
        <f>H164+K164</f>
        <v>5650.1200000000008</v>
      </c>
      <c r="M164" s="10">
        <f>0</f>
        <v>0</v>
      </c>
      <c r="N164" s="7">
        <f t="shared" si="119"/>
        <v>5650.1200000000008</v>
      </c>
      <c r="O164" s="7">
        <v>4816.84</v>
      </c>
      <c r="P164" s="7">
        <f t="shared" si="120"/>
        <v>-833.28000000000065</v>
      </c>
      <c r="Q164" s="7">
        <f t="shared" si="121"/>
        <v>4816.84</v>
      </c>
      <c r="R164" s="47">
        <v>11300.24</v>
      </c>
      <c r="S164" s="7">
        <f t="shared" si="111"/>
        <v>6483.4</v>
      </c>
      <c r="T164" s="7">
        <f t="shared" si="112"/>
        <v>11300.24</v>
      </c>
      <c r="U164" s="41">
        <v>16950.36</v>
      </c>
      <c r="V164" s="1">
        <f t="shared" si="113"/>
        <v>5650.1200000000008</v>
      </c>
      <c r="W164" s="1">
        <f t="shared" si="114"/>
        <v>16950.36</v>
      </c>
      <c r="X164" s="41">
        <v>17119.86</v>
      </c>
      <c r="Y164" s="41">
        <f t="shared" si="115"/>
        <v>169.5</v>
      </c>
      <c r="Z164" s="1">
        <f t="shared" si="116"/>
        <v>17119.86</v>
      </c>
      <c r="AA164" s="41">
        <v>19913.59</v>
      </c>
      <c r="AB164" s="1">
        <f t="shared" si="117"/>
        <v>2793.7299999999996</v>
      </c>
      <c r="AC164" s="1">
        <f t="shared" si="118"/>
        <v>19913.59</v>
      </c>
      <c r="AD164" s="41">
        <v>17550.330000000002</v>
      </c>
      <c r="AE164" s="1">
        <f t="shared" si="97"/>
        <v>-2363.2599999999984</v>
      </c>
      <c r="AF164" s="1">
        <f t="shared" si="98"/>
        <v>17550.330000000002</v>
      </c>
    </row>
    <row r="165" spans="1:32">
      <c r="A165" s="13">
        <v>16500</v>
      </c>
      <c r="B165" s="11">
        <v>12101</v>
      </c>
      <c r="C165" s="11" t="s">
        <v>100</v>
      </c>
      <c r="D165" s="7">
        <v>0</v>
      </c>
      <c r="E165" s="7">
        <v>20702.96</v>
      </c>
      <c r="F165" s="7">
        <f>D165-E165</f>
        <v>-20702.96</v>
      </c>
      <c r="G165" s="7">
        <v>20702.96</v>
      </c>
      <c r="H165" s="10">
        <f>D165+G165</f>
        <v>20702.96</v>
      </c>
      <c r="I165" s="16">
        <v>31710.14</v>
      </c>
      <c r="J165" s="16">
        <f>H165-I165</f>
        <v>-11007.18</v>
      </c>
      <c r="K165" s="16">
        <v>11007.18</v>
      </c>
      <c r="L165" s="1">
        <f>H165+K165</f>
        <v>31710.14</v>
      </c>
      <c r="M165" s="7">
        <f>21347.76-L165</f>
        <v>-10362.380000000001</v>
      </c>
      <c r="N165" s="1">
        <f t="shared" si="119"/>
        <v>21347.759999999998</v>
      </c>
      <c r="O165" s="1">
        <v>26489.119999999999</v>
      </c>
      <c r="P165" s="1">
        <f t="shared" si="120"/>
        <v>5141.3600000000006</v>
      </c>
      <c r="Q165" s="1">
        <f t="shared" si="121"/>
        <v>26489.119999999999</v>
      </c>
      <c r="R165" s="41">
        <v>41332.620000000003</v>
      </c>
      <c r="S165" s="1">
        <f t="shared" si="111"/>
        <v>14843.500000000004</v>
      </c>
      <c r="T165" s="1">
        <f t="shared" si="112"/>
        <v>41332.620000000003</v>
      </c>
      <c r="U165" s="41">
        <v>46889.5</v>
      </c>
      <c r="V165" s="1">
        <f t="shared" si="113"/>
        <v>5556.8799999999974</v>
      </c>
      <c r="W165" s="1">
        <f t="shared" si="114"/>
        <v>46889.5</v>
      </c>
      <c r="X165" s="1">
        <v>47358.41</v>
      </c>
      <c r="Y165" s="41">
        <f t="shared" si="115"/>
        <v>468.91000000000349</v>
      </c>
      <c r="Z165" s="1">
        <f t="shared" si="116"/>
        <v>47358.41</v>
      </c>
      <c r="AA165" s="41">
        <v>47832.06</v>
      </c>
      <c r="AB165" s="1">
        <f t="shared" si="117"/>
        <v>473.64999999999418</v>
      </c>
      <c r="AC165" s="1">
        <f t="shared" si="118"/>
        <v>47832.06</v>
      </c>
      <c r="AD165" s="41">
        <v>48550.07</v>
      </c>
      <c r="AE165" s="1">
        <f t="shared" si="97"/>
        <v>718.01000000000204</v>
      </c>
      <c r="AF165" s="1">
        <f t="shared" si="98"/>
        <v>48550.07</v>
      </c>
    </row>
    <row r="166" spans="1:32">
      <c r="A166" s="13">
        <v>17000</v>
      </c>
      <c r="B166" s="11">
        <v>12101</v>
      </c>
      <c r="C166" s="11" t="s">
        <v>104</v>
      </c>
      <c r="D166" s="7">
        <v>0</v>
      </c>
      <c r="E166" s="7">
        <v>20563.599999999999</v>
      </c>
      <c r="F166" s="7">
        <f>D166-E166</f>
        <v>-20563.599999999999</v>
      </c>
      <c r="G166" s="7">
        <v>20563.599999999999</v>
      </c>
      <c r="H166" s="7">
        <f>D166+G166</f>
        <v>20563.599999999999</v>
      </c>
      <c r="I166" s="16">
        <v>24746.82</v>
      </c>
      <c r="J166" s="1">
        <f>H166-I166</f>
        <v>-4183.2200000000012</v>
      </c>
      <c r="K166" s="16">
        <v>4183.22</v>
      </c>
      <c r="L166" s="1">
        <f>H166+K166</f>
        <v>24746.82</v>
      </c>
      <c r="M166" s="7">
        <v>0</v>
      </c>
      <c r="N166" s="1">
        <f t="shared" si="119"/>
        <v>24746.82</v>
      </c>
      <c r="O166" s="1">
        <v>24746.82</v>
      </c>
      <c r="P166" s="1">
        <f t="shared" si="120"/>
        <v>0</v>
      </c>
      <c r="Q166" s="1">
        <f t="shared" si="121"/>
        <v>24746.82</v>
      </c>
      <c r="R166" s="41">
        <v>33383.699999999997</v>
      </c>
      <c r="S166" s="1">
        <f t="shared" si="111"/>
        <v>8636.8799999999974</v>
      </c>
      <c r="T166" s="1">
        <f t="shared" si="112"/>
        <v>33383.699999999997</v>
      </c>
      <c r="U166" s="1">
        <v>49408.85</v>
      </c>
      <c r="V166" s="1">
        <f t="shared" si="113"/>
        <v>16025.150000000001</v>
      </c>
      <c r="W166" s="1">
        <f t="shared" si="114"/>
        <v>49408.85</v>
      </c>
      <c r="X166" s="1">
        <v>71658.97</v>
      </c>
      <c r="Y166" s="41">
        <f t="shared" si="115"/>
        <v>22250.120000000003</v>
      </c>
      <c r="Z166" s="1">
        <f t="shared" si="116"/>
        <v>71658.97</v>
      </c>
      <c r="AA166" s="41">
        <v>130275.55</v>
      </c>
      <c r="AB166" s="1">
        <f t="shared" si="117"/>
        <v>58616.58</v>
      </c>
      <c r="AC166" s="1">
        <f t="shared" si="118"/>
        <v>130275.55</v>
      </c>
      <c r="AD166" s="41">
        <v>149151.71</v>
      </c>
      <c r="AE166" s="1">
        <f t="shared" si="97"/>
        <v>18876.159999999989</v>
      </c>
      <c r="AF166" s="1">
        <f t="shared" si="98"/>
        <v>149151.71</v>
      </c>
    </row>
    <row r="167" spans="1:32">
      <c r="A167" s="13">
        <v>17100</v>
      </c>
      <c r="B167" s="11">
        <v>12101</v>
      </c>
      <c r="C167" s="11" t="s">
        <v>154</v>
      </c>
      <c r="D167" s="7">
        <v>0</v>
      </c>
      <c r="E167" s="7">
        <v>31735.27</v>
      </c>
      <c r="F167" s="7">
        <f>D167-E167</f>
        <v>-31735.27</v>
      </c>
      <c r="G167" s="7">
        <v>31735.27</v>
      </c>
      <c r="H167" s="7">
        <f>D167+G167</f>
        <v>31735.27</v>
      </c>
      <c r="I167" s="16">
        <v>45992.800000000003</v>
      </c>
      <c r="J167" s="16">
        <f>H167-I167</f>
        <v>-14257.530000000002</v>
      </c>
      <c r="K167" s="16">
        <v>14257.53</v>
      </c>
      <c r="L167" s="16">
        <f>H167+K167</f>
        <v>45992.800000000003</v>
      </c>
      <c r="M167" s="7">
        <f>40852-L167</f>
        <v>-5140.8000000000029</v>
      </c>
      <c r="N167" s="1">
        <f t="shared" si="119"/>
        <v>40852</v>
      </c>
      <c r="O167" s="1">
        <v>40852</v>
      </c>
      <c r="P167" s="1">
        <f t="shared" si="120"/>
        <v>0</v>
      </c>
      <c r="Q167" s="1">
        <f t="shared" si="121"/>
        <v>40852</v>
      </c>
      <c r="R167" s="41">
        <f>80443.86+5141.36</f>
        <v>85585.22</v>
      </c>
      <c r="S167" s="1">
        <f t="shared" si="111"/>
        <v>44733.22</v>
      </c>
      <c r="T167" s="1">
        <f t="shared" si="112"/>
        <v>85585.22</v>
      </c>
      <c r="U167" s="1">
        <v>90726.58</v>
      </c>
      <c r="V167" s="1">
        <f t="shared" si="113"/>
        <v>5141.3600000000006</v>
      </c>
      <c r="W167" s="1">
        <f t="shared" si="114"/>
        <v>90726.58</v>
      </c>
      <c r="X167" s="1">
        <v>97246.27</v>
      </c>
      <c r="Y167" s="41">
        <f t="shared" si="115"/>
        <v>6519.6900000000023</v>
      </c>
      <c r="Z167" s="1">
        <f t="shared" si="116"/>
        <v>97246.27</v>
      </c>
      <c r="AA167" s="41">
        <v>105880.83</v>
      </c>
      <c r="AB167" s="1">
        <f t="shared" si="117"/>
        <v>8634.5599999999977</v>
      </c>
      <c r="AC167" s="1">
        <f t="shared" si="118"/>
        <v>105880.83</v>
      </c>
      <c r="AD167" s="41">
        <v>130483.76</v>
      </c>
      <c r="AE167" s="1">
        <f t="shared" si="97"/>
        <v>24602.929999999993</v>
      </c>
      <c r="AF167" s="1">
        <f t="shared" si="98"/>
        <v>130483.76</v>
      </c>
    </row>
    <row r="168" spans="1:32">
      <c r="A168" s="13">
        <v>23110</v>
      </c>
      <c r="B168" s="11">
        <v>12101</v>
      </c>
      <c r="C168" s="11" t="s">
        <v>110</v>
      </c>
      <c r="D168" s="8"/>
      <c r="E168" s="8"/>
      <c r="F168" s="8"/>
      <c r="G168" s="8"/>
      <c r="H168" s="8"/>
      <c r="I168" s="8"/>
      <c r="J168" s="8"/>
      <c r="K168" s="8"/>
      <c r="L168" s="10">
        <v>144715.56</v>
      </c>
      <c r="M168" s="10">
        <f>108360.14-L168</f>
        <v>-36355.42</v>
      </c>
      <c r="N168" s="7">
        <f t="shared" si="119"/>
        <v>108360.14</v>
      </c>
      <c r="O168" s="7">
        <v>124175.17</v>
      </c>
      <c r="P168" s="1">
        <f t="shared" si="120"/>
        <v>15815.029999999999</v>
      </c>
      <c r="Q168" s="1">
        <f t="shared" si="121"/>
        <v>124175.17</v>
      </c>
      <c r="R168" s="41">
        <v>158076.24</v>
      </c>
      <c r="S168" s="1">
        <f t="shared" si="111"/>
        <v>33901.069999999992</v>
      </c>
      <c r="T168" s="1">
        <f t="shared" si="112"/>
        <v>158076.24</v>
      </c>
      <c r="U168" s="41">
        <v>168774.48</v>
      </c>
      <c r="V168" s="1">
        <f t="shared" si="113"/>
        <v>10698.24000000002</v>
      </c>
      <c r="W168" s="1">
        <f t="shared" si="114"/>
        <v>168774.48</v>
      </c>
      <c r="X168" s="41">
        <v>140676.45000000001</v>
      </c>
      <c r="Y168" s="41">
        <f t="shared" si="115"/>
        <v>-28098.03</v>
      </c>
      <c r="Z168" s="1">
        <f t="shared" si="116"/>
        <v>140676.45000000001</v>
      </c>
      <c r="AA168" s="41">
        <v>145648.85999999999</v>
      </c>
      <c r="AB168" s="41">
        <f t="shared" si="117"/>
        <v>4972.4099999999744</v>
      </c>
      <c r="AC168" s="1">
        <f t="shared" si="118"/>
        <v>145648.85999999999</v>
      </c>
      <c r="AD168" s="41">
        <v>176234.25</v>
      </c>
      <c r="AE168" s="1">
        <f t="shared" si="97"/>
        <v>30585.390000000014</v>
      </c>
      <c r="AF168" s="1">
        <f t="shared" si="98"/>
        <v>176234.25</v>
      </c>
    </row>
    <row r="169" spans="1:32">
      <c r="A169" s="13">
        <v>23111</v>
      </c>
      <c r="B169" s="11">
        <v>12101</v>
      </c>
      <c r="C169" s="11" t="s">
        <v>116</v>
      </c>
      <c r="D169" s="7">
        <v>0</v>
      </c>
      <c r="E169" s="7">
        <v>31135.07</v>
      </c>
      <c r="F169" s="7">
        <f t="shared" ref="F169:F176" si="122">D169-E169</f>
        <v>-31135.07</v>
      </c>
      <c r="G169" s="7">
        <v>31135.07</v>
      </c>
      <c r="H169" s="7">
        <f t="shared" ref="H169:H176" si="123">D169+G169</f>
        <v>31135.07</v>
      </c>
      <c r="I169" s="10">
        <v>42211.12</v>
      </c>
      <c r="J169" s="10">
        <f t="shared" ref="J169:J180" si="124">H169-I169</f>
        <v>-11076.050000000003</v>
      </c>
      <c r="K169" s="10">
        <v>11076.05</v>
      </c>
      <c r="L169" s="7">
        <v>42211.12</v>
      </c>
      <c r="M169" s="10">
        <f>69602.4-L169</f>
        <v>27391.279999999992</v>
      </c>
      <c r="N169" s="7">
        <f t="shared" si="119"/>
        <v>69602.399999999994</v>
      </c>
      <c r="O169" s="7">
        <v>50848.14</v>
      </c>
      <c r="P169" s="1">
        <f t="shared" si="120"/>
        <v>-18754.259999999995</v>
      </c>
      <c r="Q169" s="1">
        <f t="shared" si="121"/>
        <v>50848.14</v>
      </c>
      <c r="R169" s="41">
        <v>66603.039999999994</v>
      </c>
      <c r="S169" s="1">
        <f t="shared" si="111"/>
        <v>15754.899999999994</v>
      </c>
      <c r="T169" s="1">
        <f t="shared" si="112"/>
        <v>66603.039999999994</v>
      </c>
      <c r="U169" s="1">
        <v>66603.039999999994</v>
      </c>
      <c r="V169" s="1">
        <f t="shared" si="113"/>
        <v>0</v>
      </c>
      <c r="W169" s="1">
        <f t="shared" si="114"/>
        <v>66603.039999999994</v>
      </c>
      <c r="X169" s="1">
        <v>68803.12</v>
      </c>
      <c r="Y169" s="41">
        <f t="shared" si="115"/>
        <v>2200.0800000000017</v>
      </c>
      <c r="Z169" s="1">
        <f t="shared" si="116"/>
        <v>68803.12</v>
      </c>
      <c r="AA169" s="41">
        <v>67941.7</v>
      </c>
      <c r="AB169" s="41">
        <f t="shared" si="117"/>
        <v>-861.41999999999825</v>
      </c>
      <c r="AC169" s="1">
        <f t="shared" si="118"/>
        <v>67941.7</v>
      </c>
      <c r="AD169" s="41">
        <v>70533.59</v>
      </c>
      <c r="AE169" s="1">
        <f t="shared" si="97"/>
        <v>2591.8899999999994</v>
      </c>
      <c r="AF169" s="1">
        <f t="shared" si="98"/>
        <v>70533.59</v>
      </c>
    </row>
    <row r="170" spans="1:32">
      <c r="A170" s="42">
        <v>23113</v>
      </c>
      <c r="B170" s="11">
        <v>12101</v>
      </c>
      <c r="C170" s="11" t="s">
        <v>138</v>
      </c>
      <c r="D170" s="7">
        <v>0</v>
      </c>
      <c r="E170" s="7">
        <v>65630.320000000007</v>
      </c>
      <c r="F170" s="7">
        <f t="shared" si="122"/>
        <v>-65630.320000000007</v>
      </c>
      <c r="G170" s="7">
        <v>65630.320000000007</v>
      </c>
      <c r="H170" s="7">
        <f t="shared" si="123"/>
        <v>65630.320000000007</v>
      </c>
      <c r="I170" s="7">
        <v>268893.95</v>
      </c>
      <c r="J170" s="7">
        <f t="shared" si="124"/>
        <v>-203263.63</v>
      </c>
      <c r="K170" s="7">
        <v>203263.63</v>
      </c>
      <c r="L170" s="7">
        <v>268893.95</v>
      </c>
      <c r="M170" s="7">
        <f>239605.52-L170</f>
        <v>-29288.430000000022</v>
      </c>
      <c r="N170" s="7">
        <f t="shared" si="119"/>
        <v>239605.52</v>
      </c>
      <c r="O170" s="7">
        <v>240966.91</v>
      </c>
      <c r="P170" s="1">
        <f t="shared" si="120"/>
        <v>1361.390000000014</v>
      </c>
      <c r="Q170" s="1">
        <f t="shared" si="121"/>
        <v>240966.91</v>
      </c>
      <c r="R170" s="41">
        <f>321268.25+43209.88</f>
        <v>364478.13</v>
      </c>
      <c r="S170" s="1">
        <f t="shared" si="111"/>
        <v>123511.22</v>
      </c>
      <c r="T170" s="1">
        <f t="shared" si="112"/>
        <v>364478.13</v>
      </c>
      <c r="U170" s="41">
        <v>388145.66</v>
      </c>
      <c r="V170" s="1">
        <f t="shared" si="113"/>
        <v>23667.52999999997</v>
      </c>
      <c r="W170" s="1">
        <f t="shared" si="114"/>
        <v>388145.66</v>
      </c>
      <c r="X170" s="41">
        <v>412811.04</v>
      </c>
      <c r="Y170" s="41">
        <f t="shared" si="115"/>
        <v>24665.380000000005</v>
      </c>
      <c r="Z170" s="1">
        <f t="shared" si="116"/>
        <v>412811.04</v>
      </c>
      <c r="AA170" s="41">
        <v>413098.64</v>
      </c>
      <c r="AB170" s="41">
        <f t="shared" si="117"/>
        <v>287.60000000003492</v>
      </c>
      <c r="AC170" s="1">
        <f t="shared" si="118"/>
        <v>413098.64</v>
      </c>
      <c r="AD170" s="41">
        <v>429390.82</v>
      </c>
      <c r="AE170" s="1">
        <f t="shared" si="97"/>
        <v>16292.179999999993</v>
      </c>
      <c r="AF170" s="1">
        <f t="shared" si="98"/>
        <v>429390.82</v>
      </c>
    </row>
    <row r="171" spans="1:32">
      <c r="A171" s="11">
        <v>32000</v>
      </c>
      <c r="B171" s="11">
        <v>12101</v>
      </c>
      <c r="C171" s="11" t="s">
        <v>141</v>
      </c>
      <c r="D171" s="7">
        <v>0</v>
      </c>
      <c r="E171" s="7">
        <v>30507.46</v>
      </c>
      <c r="F171" s="7">
        <f t="shared" si="122"/>
        <v>-30507.46</v>
      </c>
      <c r="G171" s="7">
        <v>30507.46</v>
      </c>
      <c r="H171" s="7">
        <f t="shared" si="123"/>
        <v>30507.46</v>
      </c>
      <c r="I171" s="1">
        <v>87712.5</v>
      </c>
      <c r="J171" s="1">
        <f t="shared" si="124"/>
        <v>-57205.04</v>
      </c>
      <c r="K171" s="1">
        <v>57205.04</v>
      </c>
      <c r="L171" s="1">
        <f>H171+K171</f>
        <v>87712.5</v>
      </c>
      <c r="M171" s="7">
        <f>52568.46-L171</f>
        <v>-35144.04</v>
      </c>
      <c r="N171" s="1">
        <f t="shared" si="119"/>
        <v>52568.46</v>
      </c>
      <c r="O171" s="1">
        <v>52661.7</v>
      </c>
      <c r="P171" s="1">
        <f t="shared" si="120"/>
        <v>93.239999999997963</v>
      </c>
      <c r="Q171" s="1">
        <f t="shared" si="121"/>
        <v>52661.7</v>
      </c>
      <c r="R171" s="41">
        <f>69518.82+16441.6</f>
        <v>85960.420000000013</v>
      </c>
      <c r="S171" s="1">
        <f t="shared" si="111"/>
        <v>33298.720000000016</v>
      </c>
      <c r="T171" s="1">
        <f t="shared" si="112"/>
        <v>85960.420000000013</v>
      </c>
      <c r="U171" s="41">
        <v>174504.68</v>
      </c>
      <c r="V171" s="1">
        <f t="shared" si="113"/>
        <v>88544.25999999998</v>
      </c>
      <c r="W171" s="1">
        <f t="shared" si="114"/>
        <v>174504.68</v>
      </c>
      <c r="X171" s="41">
        <v>189444.87</v>
      </c>
      <c r="Y171" s="41">
        <f t="shared" si="115"/>
        <v>14940.190000000002</v>
      </c>
      <c r="Z171" s="1">
        <f t="shared" si="116"/>
        <v>189444.87</v>
      </c>
      <c r="AA171" s="41">
        <v>224082</v>
      </c>
      <c r="AB171" s="41">
        <f t="shared" si="117"/>
        <v>34637.130000000005</v>
      </c>
      <c r="AC171" s="1">
        <f t="shared" si="118"/>
        <v>224082</v>
      </c>
      <c r="AD171" s="41">
        <v>235745.43</v>
      </c>
      <c r="AE171" s="1">
        <f t="shared" si="97"/>
        <v>11663.429999999993</v>
      </c>
      <c r="AF171" s="1">
        <f t="shared" si="98"/>
        <v>235745.43</v>
      </c>
    </row>
    <row r="172" spans="1:32">
      <c r="A172" s="11">
        <v>33220</v>
      </c>
      <c r="B172" s="11">
        <v>12101</v>
      </c>
      <c r="C172" s="11" t="s">
        <v>123</v>
      </c>
      <c r="D172" s="7">
        <v>0</v>
      </c>
      <c r="E172" s="7">
        <v>27846.400000000001</v>
      </c>
      <c r="F172" s="7">
        <f t="shared" si="122"/>
        <v>-27846.400000000001</v>
      </c>
      <c r="G172" s="7">
        <v>27846.400000000001</v>
      </c>
      <c r="H172" s="7">
        <f t="shared" si="123"/>
        <v>27846.400000000001</v>
      </c>
      <c r="I172" s="1">
        <v>35343.879999999997</v>
      </c>
      <c r="J172" s="1">
        <f t="shared" si="124"/>
        <v>-7497.4799999999959</v>
      </c>
      <c r="K172" s="1">
        <v>7497.48</v>
      </c>
      <c r="L172" s="1">
        <f>H172+K172</f>
        <v>35343.880000000005</v>
      </c>
      <c r="M172" s="7">
        <f>40423.32-L172</f>
        <v>5079.4399999999951</v>
      </c>
      <c r="N172" s="1">
        <f t="shared" si="119"/>
        <v>40423.32</v>
      </c>
      <c r="O172" s="1">
        <v>40423.32</v>
      </c>
      <c r="P172" s="1">
        <f t="shared" si="120"/>
        <v>0</v>
      </c>
      <c r="Q172" s="1">
        <f t="shared" si="121"/>
        <v>40423.32</v>
      </c>
      <c r="R172" s="1">
        <v>40423.32</v>
      </c>
      <c r="S172" s="1">
        <f t="shared" si="111"/>
        <v>0</v>
      </c>
      <c r="T172" s="1">
        <f t="shared" si="112"/>
        <v>40423.32</v>
      </c>
      <c r="U172" s="1">
        <v>46468.38</v>
      </c>
      <c r="V172" s="1">
        <f t="shared" si="113"/>
        <v>6045.0599999999977</v>
      </c>
      <c r="W172" s="1">
        <f t="shared" si="114"/>
        <v>46468.38</v>
      </c>
      <c r="X172" s="1">
        <v>40334.49</v>
      </c>
      <c r="Y172" s="41">
        <f t="shared" si="115"/>
        <v>-6133.8899999999994</v>
      </c>
      <c r="Z172" s="1">
        <f t="shared" si="116"/>
        <v>40334.49</v>
      </c>
      <c r="AA172" s="1">
        <v>48912.74</v>
      </c>
      <c r="AB172" s="41">
        <f t="shared" si="117"/>
        <v>8578.25</v>
      </c>
      <c r="AC172" s="1">
        <f t="shared" si="118"/>
        <v>48912.74</v>
      </c>
      <c r="AD172" s="41">
        <v>49646.51</v>
      </c>
      <c r="AE172" s="1">
        <f t="shared" si="97"/>
        <v>733.77000000000407</v>
      </c>
      <c r="AF172" s="1">
        <f t="shared" si="98"/>
        <v>49646.51</v>
      </c>
    </row>
    <row r="173" spans="1:32">
      <c r="A173" s="11">
        <v>33400</v>
      </c>
      <c r="B173" s="11">
        <v>12101</v>
      </c>
      <c r="C173" s="11" t="s">
        <v>126</v>
      </c>
      <c r="D173" s="7">
        <v>0</v>
      </c>
      <c r="E173" s="7">
        <v>31148.51</v>
      </c>
      <c r="F173" s="7">
        <f t="shared" si="122"/>
        <v>-31148.51</v>
      </c>
      <c r="G173" s="7">
        <v>31148.51</v>
      </c>
      <c r="H173" s="7">
        <f t="shared" si="123"/>
        <v>31148.51</v>
      </c>
      <c r="I173" s="1">
        <v>27405.84</v>
      </c>
      <c r="J173" s="1">
        <f t="shared" si="124"/>
        <v>3742.6699999999983</v>
      </c>
      <c r="K173" s="1">
        <v>-3742.67</v>
      </c>
      <c r="L173" s="1">
        <f>H173+K173</f>
        <v>27405.839999999997</v>
      </c>
      <c r="M173" s="7">
        <v>0</v>
      </c>
      <c r="N173" s="1">
        <f t="shared" si="119"/>
        <v>27405.839999999997</v>
      </c>
      <c r="O173" s="1">
        <v>27405.84</v>
      </c>
      <c r="P173" s="1">
        <f t="shared" si="120"/>
        <v>0</v>
      </c>
      <c r="Q173" s="1">
        <f t="shared" si="121"/>
        <v>27405.839999999997</v>
      </c>
      <c r="R173" s="1">
        <v>32547.200000000001</v>
      </c>
      <c r="S173" s="1">
        <f t="shared" si="111"/>
        <v>5141.3600000000042</v>
      </c>
      <c r="T173" s="1">
        <f t="shared" si="112"/>
        <v>32547.200000000001</v>
      </c>
      <c r="U173" s="1">
        <v>37364.04</v>
      </c>
      <c r="V173" s="1">
        <f t="shared" si="113"/>
        <v>4816.84</v>
      </c>
      <c r="W173" s="1">
        <f t="shared" si="114"/>
        <v>37364.04</v>
      </c>
      <c r="X173" s="1">
        <v>38065.440000000002</v>
      </c>
      <c r="Y173" s="41">
        <f t="shared" si="115"/>
        <v>701.40000000000146</v>
      </c>
      <c r="Z173" s="1">
        <f t="shared" si="116"/>
        <v>38065.440000000002</v>
      </c>
      <c r="AA173" s="1">
        <v>33201.279999999999</v>
      </c>
      <c r="AB173" s="1">
        <f t="shared" si="117"/>
        <v>-4864.1600000000035</v>
      </c>
      <c r="AC173" s="1">
        <f t="shared" si="118"/>
        <v>33201.279999999999</v>
      </c>
      <c r="AD173" s="41">
        <v>28376.1</v>
      </c>
      <c r="AE173" s="1">
        <f t="shared" si="97"/>
        <v>-4825.18</v>
      </c>
      <c r="AF173" s="1">
        <f t="shared" si="98"/>
        <v>28376.1</v>
      </c>
    </row>
    <row r="174" spans="1:32">
      <c r="A174" s="11">
        <v>33600</v>
      </c>
      <c r="B174" s="11">
        <v>12101</v>
      </c>
      <c r="C174" s="11" t="s">
        <v>132</v>
      </c>
      <c r="D174" s="7">
        <v>0</v>
      </c>
      <c r="E174" s="7">
        <v>71031.63</v>
      </c>
      <c r="F174" s="7">
        <f t="shared" si="122"/>
        <v>-71031.63</v>
      </c>
      <c r="G174" s="7">
        <v>71031.63</v>
      </c>
      <c r="H174" s="7">
        <f t="shared" si="123"/>
        <v>71031.63</v>
      </c>
      <c r="I174" s="1">
        <v>151551.75</v>
      </c>
      <c r="J174" s="1">
        <f t="shared" si="124"/>
        <v>-80520.12</v>
      </c>
      <c r="K174" s="1">
        <v>80520.12</v>
      </c>
      <c r="L174" s="1">
        <f>H174+K174</f>
        <v>151551.75</v>
      </c>
      <c r="M174" s="7">
        <f>64765.12-L174</f>
        <v>-86786.63</v>
      </c>
      <c r="N174" s="1">
        <f t="shared" si="119"/>
        <v>64765.119999999995</v>
      </c>
      <c r="O174" s="1">
        <v>64256.36</v>
      </c>
      <c r="P174" s="1">
        <f t="shared" si="120"/>
        <v>-508.75999999999476</v>
      </c>
      <c r="Q174" s="1">
        <f t="shared" si="121"/>
        <v>64256.36</v>
      </c>
      <c r="R174" s="41">
        <f>64765.12+33391.96</f>
        <v>98157.08</v>
      </c>
      <c r="S174" s="1">
        <f t="shared" si="111"/>
        <v>33900.720000000001</v>
      </c>
      <c r="T174" s="1">
        <f t="shared" si="112"/>
        <v>98157.08</v>
      </c>
      <c r="U174" s="1">
        <v>91998.2</v>
      </c>
      <c r="V174" s="1">
        <f t="shared" si="113"/>
        <v>-6158.8800000000047</v>
      </c>
      <c r="W174" s="1">
        <f t="shared" si="114"/>
        <v>91998.2</v>
      </c>
      <c r="X174" s="1">
        <v>99138.64</v>
      </c>
      <c r="Y174" s="41">
        <f t="shared" si="115"/>
        <v>7140.4400000000023</v>
      </c>
      <c r="Z174" s="1">
        <f t="shared" si="116"/>
        <v>99138.64</v>
      </c>
      <c r="AA174" s="1">
        <v>106413.13</v>
      </c>
      <c r="AB174" s="1">
        <f t="shared" si="117"/>
        <v>7274.4900000000052</v>
      </c>
      <c r="AC174" s="1">
        <f t="shared" si="118"/>
        <v>106413.13</v>
      </c>
      <c r="AD174" s="41">
        <v>108008.87</v>
      </c>
      <c r="AE174" s="1">
        <f t="shared" si="97"/>
        <v>1595.7399999999907</v>
      </c>
      <c r="AF174" s="1">
        <f t="shared" si="98"/>
        <v>108008.87</v>
      </c>
    </row>
    <row r="175" spans="1:32">
      <c r="A175" s="11">
        <v>33700</v>
      </c>
      <c r="B175" s="11">
        <v>12101</v>
      </c>
      <c r="C175" s="11" t="s">
        <v>143</v>
      </c>
      <c r="D175" s="7">
        <v>0</v>
      </c>
      <c r="E175" s="7">
        <v>7030.6</v>
      </c>
      <c r="F175" s="7">
        <f t="shared" si="122"/>
        <v>-7030.6</v>
      </c>
      <c r="G175" s="7">
        <v>7030.6</v>
      </c>
      <c r="H175" s="7">
        <f t="shared" si="123"/>
        <v>7030.6</v>
      </c>
      <c r="I175" s="1">
        <v>14865.9</v>
      </c>
      <c r="J175" s="1">
        <f t="shared" si="124"/>
        <v>-7835.2999999999993</v>
      </c>
      <c r="K175" s="1">
        <v>7835.3</v>
      </c>
      <c r="L175" s="1">
        <f>H175+K175</f>
        <v>14865.900000000001</v>
      </c>
      <c r="M175" s="7">
        <f>11601.94-L175</f>
        <v>-3263.9600000000009</v>
      </c>
      <c r="N175" s="1">
        <f t="shared" si="119"/>
        <v>11601.94</v>
      </c>
      <c r="O175" s="1">
        <v>21799.96</v>
      </c>
      <c r="P175" s="1">
        <f t="shared" si="120"/>
        <v>10198.019999999999</v>
      </c>
      <c r="Q175" s="1">
        <f t="shared" si="121"/>
        <v>21799.96</v>
      </c>
      <c r="R175" s="1">
        <f>21799.96+5141.36</f>
        <v>26941.32</v>
      </c>
      <c r="S175" s="1">
        <f t="shared" si="111"/>
        <v>5141.3600000000006</v>
      </c>
      <c r="T175" s="1">
        <f t="shared" si="112"/>
        <v>26941.32</v>
      </c>
      <c r="U175" s="1">
        <v>26941.32</v>
      </c>
      <c r="V175" s="1">
        <f t="shared" si="113"/>
        <v>0</v>
      </c>
      <c r="W175" s="1">
        <f t="shared" si="114"/>
        <v>26941.32</v>
      </c>
      <c r="X175" s="1">
        <v>32823.18</v>
      </c>
      <c r="Y175" s="41">
        <f t="shared" si="115"/>
        <v>5881.8600000000006</v>
      </c>
      <c r="Z175" s="1">
        <f t="shared" si="116"/>
        <v>32823.18</v>
      </c>
      <c r="AA175" s="1">
        <v>23083.86</v>
      </c>
      <c r="AB175" s="1">
        <f t="shared" si="117"/>
        <v>-9739.32</v>
      </c>
      <c r="AC175" s="1">
        <f t="shared" si="118"/>
        <v>23083.86</v>
      </c>
      <c r="AD175" s="41">
        <v>25046.55</v>
      </c>
      <c r="AE175" s="1">
        <f t="shared" si="97"/>
        <v>1962.6899999999987</v>
      </c>
      <c r="AF175" s="1">
        <f t="shared" si="98"/>
        <v>25046.55</v>
      </c>
    </row>
    <row r="176" spans="1:32">
      <c r="A176" s="11">
        <v>33710</v>
      </c>
      <c r="B176" s="11">
        <v>12101</v>
      </c>
      <c r="C176" s="11" t="s">
        <v>119</v>
      </c>
      <c r="D176" s="7">
        <v>0</v>
      </c>
      <c r="E176" s="7">
        <v>11915.3</v>
      </c>
      <c r="F176" s="7">
        <f t="shared" si="122"/>
        <v>-11915.3</v>
      </c>
      <c r="G176" s="7">
        <v>11915.3</v>
      </c>
      <c r="H176" s="7">
        <f t="shared" si="123"/>
        <v>11915.3</v>
      </c>
      <c r="I176" s="7">
        <v>13206.34</v>
      </c>
      <c r="J176" s="7">
        <f t="shared" si="124"/>
        <v>-1291.0400000000009</v>
      </c>
      <c r="K176" s="7">
        <v>1291.04</v>
      </c>
      <c r="L176" s="7">
        <v>13206.34</v>
      </c>
      <c r="M176" s="7">
        <v>0</v>
      </c>
      <c r="N176" s="7">
        <f t="shared" si="119"/>
        <v>13206.34</v>
      </c>
      <c r="O176" s="7">
        <v>13206.48</v>
      </c>
      <c r="P176" s="1">
        <f t="shared" si="120"/>
        <v>0.13999999999941792</v>
      </c>
      <c r="Q176" s="1">
        <f t="shared" si="121"/>
        <v>13206.48</v>
      </c>
      <c r="R176" s="1">
        <f>13206.48+11300.24</f>
        <v>24506.720000000001</v>
      </c>
      <c r="S176" s="1">
        <f t="shared" si="111"/>
        <v>11300.240000000002</v>
      </c>
      <c r="T176" s="1">
        <f t="shared" si="112"/>
        <v>24506.720000000001</v>
      </c>
      <c r="U176" s="1">
        <v>24506.720000000001</v>
      </c>
      <c r="V176" s="1">
        <f t="shared" si="113"/>
        <v>0</v>
      </c>
      <c r="W176" s="1">
        <f t="shared" si="114"/>
        <v>24506.720000000001</v>
      </c>
      <c r="X176" s="1">
        <v>11413.24</v>
      </c>
      <c r="Y176" s="41">
        <f t="shared" si="115"/>
        <v>-13093.480000000001</v>
      </c>
      <c r="Z176" s="1">
        <f t="shared" si="116"/>
        <v>11413.24</v>
      </c>
      <c r="AA176" s="1">
        <v>25582.66</v>
      </c>
      <c r="AB176" s="1">
        <f t="shared" si="117"/>
        <v>14169.42</v>
      </c>
      <c r="AC176" s="1">
        <f t="shared" si="118"/>
        <v>25582.66</v>
      </c>
      <c r="AD176" s="41">
        <v>25966.21</v>
      </c>
      <c r="AE176" s="1">
        <f t="shared" si="97"/>
        <v>383.54999999999927</v>
      </c>
      <c r="AF176" s="1">
        <f t="shared" si="98"/>
        <v>25966.21</v>
      </c>
    </row>
    <row r="177" spans="1:32">
      <c r="A177" s="13">
        <v>33800</v>
      </c>
      <c r="B177" s="11">
        <v>12101</v>
      </c>
      <c r="C177" s="11" t="s">
        <v>602</v>
      </c>
      <c r="D177" s="7"/>
      <c r="E177" s="7"/>
      <c r="F177" s="7"/>
      <c r="G177" s="7"/>
      <c r="H177" s="7">
        <v>0</v>
      </c>
      <c r="I177" s="16">
        <v>6475.78</v>
      </c>
      <c r="J177" s="16">
        <f t="shared" si="124"/>
        <v>-6475.78</v>
      </c>
      <c r="K177" s="16">
        <v>6475.78</v>
      </c>
      <c r="L177" s="1">
        <f>H177+K177</f>
        <v>6475.78</v>
      </c>
      <c r="M177" s="7">
        <f>5556.88-L177</f>
        <v>-918.89999999999964</v>
      </c>
      <c r="N177" s="1">
        <f t="shared" si="119"/>
        <v>5556.88</v>
      </c>
      <c r="O177" s="1">
        <v>5556.88</v>
      </c>
      <c r="P177" s="1">
        <f t="shared" si="120"/>
        <v>0</v>
      </c>
      <c r="Q177" s="1">
        <f t="shared" si="121"/>
        <v>5556.88</v>
      </c>
      <c r="R177" s="1">
        <v>5556.88</v>
      </c>
      <c r="S177" s="1">
        <f t="shared" si="111"/>
        <v>0</v>
      </c>
      <c r="T177" s="1">
        <f t="shared" si="112"/>
        <v>5556.88</v>
      </c>
      <c r="U177" s="1">
        <v>23117.5</v>
      </c>
      <c r="V177" s="1">
        <f t="shared" si="113"/>
        <v>17560.62</v>
      </c>
      <c r="W177" s="1">
        <f t="shared" si="114"/>
        <v>23117.5</v>
      </c>
      <c r="X177" s="1">
        <v>11224.9</v>
      </c>
      <c r="Y177" s="41">
        <f t="shared" si="115"/>
        <v>-11892.6</v>
      </c>
      <c r="Z177" s="1">
        <f t="shared" si="116"/>
        <v>11224.9</v>
      </c>
      <c r="AA177" s="1">
        <v>20228.18</v>
      </c>
      <c r="AB177" s="1">
        <f t="shared" si="117"/>
        <v>9003.2800000000007</v>
      </c>
      <c r="AC177" s="1">
        <f t="shared" si="118"/>
        <v>20228.18</v>
      </c>
      <c r="AD177" s="41">
        <v>18048.8</v>
      </c>
      <c r="AE177" s="1">
        <f t="shared" si="97"/>
        <v>-2179.380000000001</v>
      </c>
      <c r="AF177" s="1">
        <f t="shared" si="98"/>
        <v>18048.8</v>
      </c>
    </row>
    <row r="178" spans="1:32">
      <c r="A178" s="11">
        <v>34000</v>
      </c>
      <c r="B178" s="11">
        <v>12101</v>
      </c>
      <c r="C178" s="11" t="s">
        <v>149</v>
      </c>
      <c r="D178" s="7">
        <v>0</v>
      </c>
      <c r="E178" s="7">
        <v>60747.62</v>
      </c>
      <c r="F178" s="7">
        <f>D178-E178</f>
        <v>-60747.62</v>
      </c>
      <c r="G178" s="7">
        <v>60747.62</v>
      </c>
      <c r="H178" s="7">
        <f>D178+G178</f>
        <v>60747.62</v>
      </c>
      <c r="I178" s="16">
        <v>62652.45</v>
      </c>
      <c r="J178" s="16">
        <f t="shared" si="124"/>
        <v>-1904.8299999999945</v>
      </c>
      <c r="K178" s="16">
        <v>1904.83</v>
      </c>
      <c r="L178" s="1">
        <f>H178+K178</f>
        <v>62652.450000000004</v>
      </c>
      <c r="M178" s="7">
        <f>72860.06-L178</f>
        <v>10207.609999999993</v>
      </c>
      <c r="N178" s="1">
        <f t="shared" si="119"/>
        <v>72860.06</v>
      </c>
      <c r="O178" s="1">
        <v>51390.92</v>
      </c>
      <c r="P178" s="1">
        <f t="shared" si="120"/>
        <v>-21469.14</v>
      </c>
      <c r="Q178" s="1">
        <f t="shared" si="121"/>
        <v>51390.92</v>
      </c>
      <c r="R178" s="1">
        <f>58114+11300.24</f>
        <v>69414.240000000005</v>
      </c>
      <c r="S178" s="1">
        <f t="shared" si="111"/>
        <v>18023.320000000007</v>
      </c>
      <c r="T178" s="1">
        <f t="shared" si="112"/>
        <v>69414.240000000005</v>
      </c>
      <c r="U178" s="1">
        <v>68396.72</v>
      </c>
      <c r="V178" s="1">
        <f t="shared" si="113"/>
        <v>-1017.5200000000041</v>
      </c>
      <c r="W178" s="1">
        <f t="shared" si="114"/>
        <v>68396.72</v>
      </c>
      <c r="X178" s="1">
        <v>69080.67</v>
      </c>
      <c r="Y178" s="41">
        <f t="shared" si="115"/>
        <v>683.94999999999709</v>
      </c>
      <c r="Z178" s="1">
        <f t="shared" si="116"/>
        <v>69080.67</v>
      </c>
      <c r="AA178" s="1">
        <v>57191.76</v>
      </c>
      <c r="AB178" s="1">
        <f t="shared" si="117"/>
        <v>-11888.909999999996</v>
      </c>
      <c r="AC178" s="1">
        <f t="shared" si="118"/>
        <v>57191.76</v>
      </c>
      <c r="AD178" s="41">
        <v>56529.49</v>
      </c>
      <c r="AE178" s="1">
        <f t="shared" si="97"/>
        <v>-662.27000000000407</v>
      </c>
      <c r="AF178" s="1">
        <f t="shared" si="98"/>
        <v>56529.49</v>
      </c>
    </row>
    <row r="179" spans="1:32">
      <c r="A179" s="11">
        <v>43120</v>
      </c>
      <c r="B179" s="11">
        <v>12101</v>
      </c>
      <c r="C179" s="11" t="s">
        <v>163</v>
      </c>
      <c r="D179" s="7">
        <v>0</v>
      </c>
      <c r="E179" s="7">
        <v>9464.66</v>
      </c>
      <c r="F179" s="7">
        <f>D179-E179</f>
        <v>-9464.66</v>
      </c>
      <c r="G179" s="7">
        <v>9464.66</v>
      </c>
      <c r="H179" s="7">
        <f>D179+G179</f>
        <v>9464.66</v>
      </c>
      <c r="I179" s="10">
        <v>6971.21</v>
      </c>
      <c r="J179" s="10">
        <f t="shared" si="124"/>
        <v>2493.4499999999998</v>
      </c>
      <c r="K179" s="10">
        <v>-2493.4499999999998</v>
      </c>
      <c r="L179" s="7">
        <v>6971.21</v>
      </c>
      <c r="M179" s="10">
        <f>6045.06-L179</f>
        <v>-926.14999999999964</v>
      </c>
      <c r="N179" s="7">
        <f t="shared" si="119"/>
        <v>6045.06</v>
      </c>
      <c r="O179" s="7">
        <v>6045.06</v>
      </c>
      <c r="P179" s="1">
        <f t="shared" si="120"/>
        <v>0</v>
      </c>
      <c r="Q179" s="1">
        <f t="shared" si="121"/>
        <v>6045.06</v>
      </c>
      <c r="R179" s="1">
        <v>6045.06</v>
      </c>
      <c r="S179" s="1">
        <f t="shared" si="111"/>
        <v>0</v>
      </c>
      <c r="T179" s="1">
        <f t="shared" si="112"/>
        <v>6045.06</v>
      </c>
      <c r="U179" s="1">
        <v>6045.06</v>
      </c>
      <c r="V179" s="1">
        <f t="shared" si="113"/>
        <v>0</v>
      </c>
      <c r="W179" s="1">
        <f t="shared" si="114"/>
        <v>6045.06</v>
      </c>
      <c r="X179" s="1">
        <v>6105.51</v>
      </c>
      <c r="Y179" s="41">
        <f t="shared" si="115"/>
        <v>60.449999999999818</v>
      </c>
      <c r="Z179" s="1">
        <f t="shared" si="116"/>
        <v>6105.51</v>
      </c>
      <c r="AA179" s="1">
        <v>20800.3</v>
      </c>
      <c r="AB179" s="41">
        <f t="shared" si="117"/>
        <v>14694.789999999999</v>
      </c>
      <c r="AC179" s="1">
        <f t="shared" si="118"/>
        <v>20800.3</v>
      </c>
      <c r="AD179" s="41">
        <v>17804.509999999998</v>
      </c>
      <c r="AE179" s="1">
        <f t="shared" si="97"/>
        <v>-2995.7900000000009</v>
      </c>
      <c r="AF179" s="1">
        <f t="shared" si="98"/>
        <v>17804.509999999998</v>
      </c>
    </row>
    <row r="180" spans="1:32">
      <c r="A180" s="13">
        <v>43200</v>
      </c>
      <c r="B180" s="11">
        <v>12101</v>
      </c>
      <c r="C180" s="11" t="s">
        <v>183</v>
      </c>
      <c r="D180" s="7">
        <v>0</v>
      </c>
      <c r="E180" s="7">
        <v>45082.86</v>
      </c>
      <c r="F180" s="7">
        <f>D180-E180</f>
        <v>-45082.86</v>
      </c>
      <c r="G180" s="7">
        <v>45082.86</v>
      </c>
      <c r="H180" s="7">
        <f>D180+G180</f>
        <v>45082.86</v>
      </c>
      <c r="I180" s="16">
        <v>80525.08</v>
      </c>
      <c r="J180" s="16">
        <f t="shared" si="124"/>
        <v>-35442.22</v>
      </c>
      <c r="K180" s="16">
        <v>35442.22</v>
      </c>
      <c r="L180" s="1">
        <f>H180+K180</f>
        <v>80525.08</v>
      </c>
      <c r="M180" s="7">
        <f>79361.38-L180</f>
        <v>-1163.6999999999971</v>
      </c>
      <c r="N180" s="1">
        <f t="shared" si="119"/>
        <v>79361.38</v>
      </c>
      <c r="O180" s="1">
        <v>79361.38</v>
      </c>
      <c r="P180" s="1">
        <f t="shared" si="120"/>
        <v>0</v>
      </c>
      <c r="Q180" s="1">
        <f t="shared" si="121"/>
        <v>79361.38</v>
      </c>
      <c r="R180" s="41">
        <v>79361.38</v>
      </c>
      <c r="S180" s="1">
        <f t="shared" si="111"/>
        <v>0</v>
      </c>
      <c r="T180" s="1">
        <f t="shared" si="112"/>
        <v>79361.38</v>
      </c>
      <c r="U180" s="41">
        <v>86343.6</v>
      </c>
      <c r="V180" s="1">
        <f t="shared" si="113"/>
        <v>6982.2200000000012</v>
      </c>
      <c r="W180" s="1">
        <f t="shared" si="114"/>
        <v>86343.6</v>
      </c>
      <c r="X180" s="41">
        <v>80154.98</v>
      </c>
      <c r="Y180" s="41">
        <f t="shared" si="115"/>
        <v>-6188.6200000000099</v>
      </c>
      <c r="Z180" s="1">
        <f t="shared" si="116"/>
        <v>80154.98</v>
      </c>
      <c r="AA180" s="41">
        <v>80956.72</v>
      </c>
      <c r="AB180" s="41">
        <f t="shared" si="117"/>
        <v>801.74000000000524</v>
      </c>
      <c r="AC180" s="1">
        <f t="shared" si="118"/>
        <v>80956.72</v>
      </c>
      <c r="AD180" s="41">
        <v>89540.5</v>
      </c>
      <c r="AE180" s="1">
        <f t="shared" si="97"/>
        <v>8583.7799999999988</v>
      </c>
      <c r="AF180" s="1">
        <f t="shared" si="98"/>
        <v>89540.5</v>
      </c>
    </row>
    <row r="181" spans="1:32">
      <c r="A181" s="13">
        <v>43210</v>
      </c>
      <c r="B181" s="11">
        <v>12101</v>
      </c>
      <c r="C181" s="42" t="s">
        <v>879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3"/>
      <c r="S181" s="8"/>
      <c r="T181" s="8"/>
      <c r="U181" s="8"/>
      <c r="V181" s="8"/>
      <c r="W181" s="8"/>
      <c r="X181" s="8"/>
      <c r="Y181" s="8"/>
      <c r="Z181" s="47">
        <v>0</v>
      </c>
      <c r="AA181" s="47">
        <v>7122.6</v>
      </c>
      <c r="AB181" s="41">
        <f t="shared" si="117"/>
        <v>7122.6</v>
      </c>
      <c r="AC181" s="1">
        <f t="shared" si="118"/>
        <v>7122.6</v>
      </c>
      <c r="AD181" s="41">
        <v>7229.34</v>
      </c>
      <c r="AE181" s="1">
        <f t="shared" si="97"/>
        <v>106.73999999999978</v>
      </c>
      <c r="AF181" s="1">
        <f t="shared" si="98"/>
        <v>7229.34</v>
      </c>
    </row>
    <row r="182" spans="1:32">
      <c r="A182" s="11">
        <v>45900</v>
      </c>
      <c r="B182" s="11">
        <v>12101</v>
      </c>
      <c r="C182" s="11" t="s">
        <v>186</v>
      </c>
      <c r="D182" s="7">
        <v>0</v>
      </c>
      <c r="E182" s="7">
        <v>32897.730000000003</v>
      </c>
      <c r="F182" s="7">
        <f t="shared" ref="F182:F193" si="125">D182-E182</f>
        <v>-32897.730000000003</v>
      </c>
      <c r="G182" s="7">
        <v>32897.730000000003</v>
      </c>
      <c r="H182" s="7">
        <f t="shared" ref="H182:H193" si="126">D182+G182</f>
        <v>32897.730000000003</v>
      </c>
      <c r="I182" s="1">
        <v>41077.629999999997</v>
      </c>
      <c r="J182" s="1">
        <f t="shared" ref="J182:J193" si="127">H182-I182</f>
        <v>-8179.8999999999942</v>
      </c>
      <c r="K182" s="1">
        <v>8179.9</v>
      </c>
      <c r="L182" s="1">
        <f>H182+K182</f>
        <v>41077.630000000005</v>
      </c>
      <c r="M182" s="7">
        <f>73296.72-L182</f>
        <v>32219.089999999997</v>
      </c>
      <c r="N182" s="1">
        <f t="shared" ref="N182:N193" si="128">L182+M182</f>
        <v>73296.72</v>
      </c>
      <c r="O182" s="1">
        <v>60466.7</v>
      </c>
      <c r="P182" s="1">
        <f t="shared" ref="P182:P193" si="129">O182-N182</f>
        <v>-12830.020000000004</v>
      </c>
      <c r="Q182" s="1">
        <f t="shared" ref="Q182:Q193" si="130">N182+P182</f>
        <v>60466.7</v>
      </c>
      <c r="R182" s="41">
        <v>108816.54</v>
      </c>
      <c r="S182" s="1">
        <f t="shared" ref="S182:S196" si="131">R182-Q182</f>
        <v>48349.84</v>
      </c>
      <c r="T182" s="1">
        <f t="shared" ref="T182:T196" si="132">Q182+S182</f>
        <v>108816.54</v>
      </c>
      <c r="U182" s="1">
        <v>96284.160000000003</v>
      </c>
      <c r="V182" s="1">
        <f t="shared" ref="V182:V196" si="133">U182-T182</f>
        <v>-12532.37999999999</v>
      </c>
      <c r="W182" s="1">
        <f t="shared" ref="W182:W196" si="134">T182+V182</f>
        <v>96284.160000000003</v>
      </c>
      <c r="X182" s="1">
        <v>87517.4</v>
      </c>
      <c r="Y182" s="41">
        <f t="shared" ref="Y182:Y206" si="135">X182-W182</f>
        <v>-8766.7600000000093</v>
      </c>
      <c r="Z182" s="1">
        <f t="shared" ref="Z182:Z206" si="136">W182+Y182</f>
        <v>87517.4</v>
      </c>
      <c r="AA182" s="41">
        <v>99067.15</v>
      </c>
      <c r="AB182" s="41">
        <f t="shared" si="117"/>
        <v>11549.75</v>
      </c>
      <c r="AC182" s="1">
        <f t="shared" si="118"/>
        <v>99067.15</v>
      </c>
      <c r="AD182" s="41">
        <v>100553.38</v>
      </c>
      <c r="AE182" s="1">
        <f t="shared" si="97"/>
        <v>1486.2300000000105</v>
      </c>
      <c r="AF182" s="1">
        <f t="shared" si="98"/>
        <v>100553.38</v>
      </c>
    </row>
    <row r="183" spans="1:32">
      <c r="A183" s="11">
        <v>49300</v>
      </c>
      <c r="B183" s="11">
        <v>12101</v>
      </c>
      <c r="C183" s="11" t="s">
        <v>708</v>
      </c>
      <c r="D183" s="7">
        <v>0</v>
      </c>
      <c r="E183" s="7">
        <v>25086.94</v>
      </c>
      <c r="F183" s="7">
        <f t="shared" si="125"/>
        <v>-25086.94</v>
      </c>
      <c r="G183" s="7">
        <v>25086.94</v>
      </c>
      <c r="H183" s="7">
        <f t="shared" si="126"/>
        <v>25086.94</v>
      </c>
      <c r="I183" s="1">
        <v>32264.54</v>
      </c>
      <c r="J183" s="1">
        <f t="shared" si="127"/>
        <v>-7177.6000000000022</v>
      </c>
      <c r="K183" s="1">
        <v>7177.6</v>
      </c>
      <c r="L183" s="1">
        <f>H183+K183</f>
        <v>32264.54</v>
      </c>
      <c r="M183" s="7">
        <f>29744.68-L183</f>
        <v>-2519.8600000000006</v>
      </c>
      <c r="N183" s="1">
        <f t="shared" si="128"/>
        <v>29744.68</v>
      </c>
      <c r="O183" s="1">
        <v>29744.68</v>
      </c>
      <c r="P183" s="1">
        <f t="shared" si="129"/>
        <v>0</v>
      </c>
      <c r="Q183" s="1">
        <f t="shared" si="130"/>
        <v>29744.68</v>
      </c>
      <c r="R183" s="1">
        <v>29744.68</v>
      </c>
      <c r="S183" s="1">
        <f t="shared" si="131"/>
        <v>0</v>
      </c>
      <c r="T183" s="1">
        <f t="shared" si="132"/>
        <v>29744.68</v>
      </c>
      <c r="U183" s="1">
        <v>23250.639999999999</v>
      </c>
      <c r="V183" s="1">
        <f t="shared" si="133"/>
        <v>-6494.0400000000009</v>
      </c>
      <c r="W183" s="1">
        <f t="shared" si="134"/>
        <v>23250.639999999999</v>
      </c>
      <c r="X183" s="1">
        <v>29095.599999999999</v>
      </c>
      <c r="Y183" s="41">
        <f t="shared" si="135"/>
        <v>5844.9599999999991</v>
      </c>
      <c r="Z183" s="1">
        <f t="shared" si="136"/>
        <v>29095.599999999999</v>
      </c>
      <c r="AA183" s="1">
        <v>7261.03</v>
      </c>
      <c r="AB183" s="1">
        <f t="shared" si="117"/>
        <v>-21834.57</v>
      </c>
      <c r="AC183" s="1">
        <f t="shared" si="118"/>
        <v>7261.0299999999988</v>
      </c>
      <c r="AD183" s="41">
        <v>7370.02</v>
      </c>
      <c r="AE183" s="1">
        <f t="shared" si="97"/>
        <v>108.9900000000016</v>
      </c>
      <c r="AF183" s="1">
        <f t="shared" si="98"/>
        <v>7370.02</v>
      </c>
    </row>
    <row r="184" spans="1:32">
      <c r="A184" s="11">
        <v>91210</v>
      </c>
      <c r="B184" s="11">
        <v>12101</v>
      </c>
      <c r="C184" s="42" t="s">
        <v>765</v>
      </c>
      <c r="D184" s="7">
        <v>0</v>
      </c>
      <c r="E184" s="7">
        <v>6421.9</v>
      </c>
      <c r="F184" s="7">
        <f t="shared" si="125"/>
        <v>-6421.9</v>
      </c>
      <c r="G184" s="7">
        <v>6421.9</v>
      </c>
      <c r="H184" s="7">
        <f t="shared" si="126"/>
        <v>6421.9</v>
      </c>
      <c r="I184" s="7">
        <v>7118.02</v>
      </c>
      <c r="J184" s="7">
        <f t="shared" si="127"/>
        <v>-696.1200000000008</v>
      </c>
      <c r="K184" s="7">
        <v>696.12</v>
      </c>
      <c r="L184" s="7">
        <v>7118.02</v>
      </c>
      <c r="M184" s="7">
        <v>0</v>
      </c>
      <c r="N184" s="7">
        <f t="shared" si="128"/>
        <v>7118.02</v>
      </c>
      <c r="O184" s="7">
        <v>7118.02</v>
      </c>
      <c r="P184" s="1">
        <f t="shared" si="129"/>
        <v>0</v>
      </c>
      <c r="Q184" s="1">
        <f t="shared" si="130"/>
        <v>7118.02</v>
      </c>
      <c r="R184" s="1">
        <v>7118.02</v>
      </c>
      <c r="S184" s="1">
        <f t="shared" si="131"/>
        <v>0</v>
      </c>
      <c r="T184" s="1">
        <f t="shared" si="132"/>
        <v>7118.02</v>
      </c>
      <c r="U184" s="1">
        <v>7118.02</v>
      </c>
      <c r="V184" s="1">
        <f t="shared" si="133"/>
        <v>0</v>
      </c>
      <c r="W184" s="1">
        <f t="shared" si="134"/>
        <v>7118.02</v>
      </c>
      <c r="X184" s="1">
        <v>7189.2</v>
      </c>
      <c r="Y184" s="41">
        <f t="shared" si="135"/>
        <v>71.179999999999382</v>
      </c>
      <c r="Z184" s="1">
        <f t="shared" si="136"/>
        <v>7189.2</v>
      </c>
      <c r="AA184" s="1">
        <v>7261.03</v>
      </c>
      <c r="AB184" s="1">
        <f t="shared" ref="AB184:AB215" si="137">AA184-Z184</f>
        <v>71.829999999999927</v>
      </c>
      <c r="AC184" s="1">
        <f t="shared" ref="AC184:AC215" si="138">Z184+AB184</f>
        <v>7261.03</v>
      </c>
      <c r="AD184" s="41">
        <v>7370.02</v>
      </c>
      <c r="AE184" s="1">
        <f t="shared" si="97"/>
        <v>108.99000000000069</v>
      </c>
      <c r="AF184" s="1">
        <f t="shared" si="98"/>
        <v>7370.02</v>
      </c>
    </row>
    <row r="185" spans="1:32">
      <c r="A185" s="11">
        <v>92000</v>
      </c>
      <c r="B185" s="11">
        <v>12101</v>
      </c>
      <c r="C185" s="11" t="s">
        <v>196</v>
      </c>
      <c r="D185" s="7">
        <v>0</v>
      </c>
      <c r="E185" s="7">
        <v>233459.5</v>
      </c>
      <c r="F185" s="7">
        <f t="shared" si="125"/>
        <v>-233459.5</v>
      </c>
      <c r="G185" s="7">
        <v>233459.5</v>
      </c>
      <c r="H185" s="7">
        <f t="shared" si="126"/>
        <v>233459.5</v>
      </c>
      <c r="I185" s="1">
        <v>261248.68</v>
      </c>
      <c r="J185" s="1">
        <f t="shared" si="127"/>
        <v>-27789.179999999993</v>
      </c>
      <c r="K185" s="1">
        <v>27789.18</v>
      </c>
      <c r="L185" s="1">
        <f>H185+K185</f>
        <v>261248.68</v>
      </c>
      <c r="M185" s="7">
        <f>242680.34-L185</f>
        <v>-18568.339999999997</v>
      </c>
      <c r="N185" s="1">
        <f t="shared" si="128"/>
        <v>242680.34</v>
      </c>
      <c r="O185" s="1">
        <v>252242.48</v>
      </c>
      <c r="P185" s="1">
        <f t="shared" si="129"/>
        <v>9562.140000000014</v>
      </c>
      <c r="Q185" s="1">
        <f t="shared" si="130"/>
        <v>252242.48</v>
      </c>
      <c r="R185" s="1">
        <f>254162.58+20240.92</f>
        <v>274403.5</v>
      </c>
      <c r="S185" s="1">
        <f t="shared" si="131"/>
        <v>22161.01999999999</v>
      </c>
      <c r="T185" s="1">
        <f t="shared" si="132"/>
        <v>274403.5</v>
      </c>
      <c r="U185" s="1">
        <v>182666.82</v>
      </c>
      <c r="V185" s="1">
        <f t="shared" si="133"/>
        <v>-91736.68</v>
      </c>
      <c r="W185" s="1">
        <f t="shared" si="134"/>
        <v>182666.82</v>
      </c>
      <c r="X185" s="1">
        <v>186550.83</v>
      </c>
      <c r="Y185" s="41">
        <f t="shared" si="135"/>
        <v>3884.0099999999802</v>
      </c>
      <c r="Z185" s="1">
        <f t="shared" si="136"/>
        <v>186550.83</v>
      </c>
      <c r="AA185" s="1">
        <v>192236.64</v>
      </c>
      <c r="AB185" s="1">
        <f t="shared" si="137"/>
        <v>5685.8100000000268</v>
      </c>
      <c r="AC185" s="1">
        <f t="shared" si="138"/>
        <v>192236.64</v>
      </c>
      <c r="AD185" s="41">
        <v>196793.1</v>
      </c>
      <c r="AE185" s="1">
        <f t="shared" si="97"/>
        <v>4556.4599999999919</v>
      </c>
      <c r="AF185" s="1">
        <f t="shared" si="98"/>
        <v>196793.1</v>
      </c>
    </row>
    <row r="186" spans="1:32">
      <c r="A186" s="11">
        <v>92010</v>
      </c>
      <c r="B186" s="11">
        <v>12101</v>
      </c>
      <c r="C186" s="11" t="s">
        <v>210</v>
      </c>
      <c r="D186" s="7">
        <v>0</v>
      </c>
      <c r="E186" s="7">
        <v>20952.79</v>
      </c>
      <c r="F186" s="7">
        <f t="shared" si="125"/>
        <v>-20952.79</v>
      </c>
      <c r="G186" s="7">
        <v>20952.79</v>
      </c>
      <c r="H186" s="7">
        <f t="shared" si="126"/>
        <v>20952.79</v>
      </c>
      <c r="I186" s="7">
        <v>24784.48</v>
      </c>
      <c r="J186" s="7">
        <f t="shared" si="127"/>
        <v>-3831.6899999999987</v>
      </c>
      <c r="K186" s="7">
        <v>3831.69</v>
      </c>
      <c r="L186" s="7">
        <v>24784.48</v>
      </c>
      <c r="M186" s="7">
        <v>0</v>
      </c>
      <c r="N186" s="7">
        <f t="shared" si="128"/>
        <v>24784.48</v>
      </c>
      <c r="O186" s="7">
        <v>24784.2</v>
      </c>
      <c r="P186" s="1">
        <f t="shared" si="129"/>
        <v>-0.27999999999883585</v>
      </c>
      <c r="Q186" s="1">
        <f t="shared" si="130"/>
        <v>24784.2</v>
      </c>
      <c r="R186" s="1">
        <v>24784.2</v>
      </c>
      <c r="S186" s="1">
        <f t="shared" si="131"/>
        <v>0</v>
      </c>
      <c r="T186" s="1">
        <f t="shared" si="132"/>
        <v>24784.2</v>
      </c>
      <c r="U186" s="1">
        <v>24784.2</v>
      </c>
      <c r="V186" s="1">
        <f t="shared" si="133"/>
        <v>0</v>
      </c>
      <c r="W186" s="1">
        <f t="shared" si="134"/>
        <v>24784.2</v>
      </c>
      <c r="X186" s="1">
        <v>25032.04</v>
      </c>
      <c r="Y186" s="41">
        <f t="shared" si="135"/>
        <v>247.84000000000015</v>
      </c>
      <c r="Z186" s="1">
        <f t="shared" si="136"/>
        <v>25032.04</v>
      </c>
      <c r="AA186" s="1">
        <v>32543.4</v>
      </c>
      <c r="AB186" s="1">
        <f t="shared" si="137"/>
        <v>7511.3600000000006</v>
      </c>
      <c r="AC186" s="1">
        <f t="shared" si="138"/>
        <v>32543.4</v>
      </c>
      <c r="AD186" s="41">
        <v>33031.72</v>
      </c>
      <c r="AE186" s="1">
        <f t="shared" si="97"/>
        <v>488.31999999999971</v>
      </c>
      <c r="AF186" s="1">
        <f t="shared" si="98"/>
        <v>33031.72</v>
      </c>
    </row>
    <row r="187" spans="1:32">
      <c r="A187" s="11">
        <v>92020</v>
      </c>
      <c r="B187" s="11">
        <v>12101</v>
      </c>
      <c r="C187" s="11" t="s">
        <v>207</v>
      </c>
      <c r="D187" s="7">
        <v>0</v>
      </c>
      <c r="E187" s="7">
        <v>7792.48</v>
      </c>
      <c r="F187" s="7">
        <f t="shared" si="125"/>
        <v>-7792.48</v>
      </c>
      <c r="G187" s="7">
        <v>7792.48</v>
      </c>
      <c r="H187" s="7">
        <f t="shared" si="126"/>
        <v>7792.48</v>
      </c>
      <c r="I187" s="7">
        <v>8636.8799999999992</v>
      </c>
      <c r="J187" s="7">
        <f t="shared" si="127"/>
        <v>-844.39999999999964</v>
      </c>
      <c r="K187" s="7">
        <v>844.4</v>
      </c>
      <c r="L187" s="7">
        <v>8636.8799999999992</v>
      </c>
      <c r="M187" s="7">
        <v>0</v>
      </c>
      <c r="N187" s="7">
        <f t="shared" si="128"/>
        <v>8636.8799999999992</v>
      </c>
      <c r="O187" s="7">
        <v>8636.8799999999992</v>
      </c>
      <c r="P187" s="1">
        <f t="shared" si="129"/>
        <v>0</v>
      </c>
      <c r="Q187" s="1">
        <f t="shared" si="130"/>
        <v>8636.8799999999992</v>
      </c>
      <c r="R187" s="1">
        <v>8636.8799999999992</v>
      </c>
      <c r="S187" s="1">
        <f t="shared" si="131"/>
        <v>0</v>
      </c>
      <c r="T187" s="1">
        <f t="shared" si="132"/>
        <v>8636.8799999999992</v>
      </c>
      <c r="U187" s="1">
        <v>8636.8799999999992</v>
      </c>
      <c r="V187" s="1">
        <f t="shared" si="133"/>
        <v>0</v>
      </c>
      <c r="W187" s="1">
        <f t="shared" si="134"/>
        <v>8636.8799999999992</v>
      </c>
      <c r="X187" s="1">
        <v>8723.25</v>
      </c>
      <c r="Y187" s="41">
        <f t="shared" si="135"/>
        <v>86.3700000000008</v>
      </c>
      <c r="Z187" s="1">
        <f t="shared" si="136"/>
        <v>8723.25</v>
      </c>
      <c r="AA187" s="1">
        <v>12352.7</v>
      </c>
      <c r="AB187" s="1">
        <f t="shared" si="137"/>
        <v>3629.4500000000007</v>
      </c>
      <c r="AC187" s="1">
        <f t="shared" si="138"/>
        <v>12352.7</v>
      </c>
      <c r="AD187" s="41">
        <v>19906.66</v>
      </c>
      <c r="AE187" s="1">
        <f t="shared" si="97"/>
        <v>7553.9599999999991</v>
      </c>
      <c r="AF187" s="1">
        <f t="shared" si="98"/>
        <v>19906.66</v>
      </c>
    </row>
    <row r="188" spans="1:32">
      <c r="A188" s="11">
        <v>92400</v>
      </c>
      <c r="B188" s="11">
        <v>12101</v>
      </c>
      <c r="C188" s="11" t="s">
        <v>204</v>
      </c>
      <c r="D188" s="7">
        <v>0</v>
      </c>
      <c r="E188" s="7">
        <v>5013.4799999999996</v>
      </c>
      <c r="F188" s="7">
        <f t="shared" si="125"/>
        <v>-5013.4799999999996</v>
      </c>
      <c r="G188" s="7">
        <v>5013.4799999999996</v>
      </c>
      <c r="H188" s="7">
        <f t="shared" si="126"/>
        <v>5013.4799999999996</v>
      </c>
      <c r="I188" s="1">
        <v>5556.88</v>
      </c>
      <c r="J188" s="1">
        <f t="shared" si="127"/>
        <v>-543.40000000000055</v>
      </c>
      <c r="K188" s="1">
        <v>543.4</v>
      </c>
      <c r="L188" s="1">
        <f>H188+K188</f>
        <v>5556.8799999999992</v>
      </c>
      <c r="M188" s="7">
        <v>0</v>
      </c>
      <c r="N188" s="1">
        <f t="shared" si="128"/>
        <v>5556.8799999999992</v>
      </c>
      <c r="O188" s="1">
        <v>5556.88</v>
      </c>
      <c r="P188" s="1">
        <f t="shared" si="129"/>
        <v>0</v>
      </c>
      <c r="Q188" s="1">
        <f t="shared" si="130"/>
        <v>5556.8799999999992</v>
      </c>
      <c r="R188" s="1">
        <v>5556.88</v>
      </c>
      <c r="S188" s="1">
        <f t="shared" si="131"/>
        <v>0</v>
      </c>
      <c r="T188" s="1">
        <f t="shared" si="132"/>
        <v>5556.8799999999992</v>
      </c>
      <c r="U188" s="1">
        <v>5556.88</v>
      </c>
      <c r="V188" s="1">
        <f t="shared" si="133"/>
        <v>0</v>
      </c>
      <c r="W188" s="1">
        <f t="shared" si="134"/>
        <v>5556.8799999999992</v>
      </c>
      <c r="X188" s="1">
        <v>5612.45</v>
      </c>
      <c r="Y188" s="41">
        <f t="shared" si="135"/>
        <v>55.570000000000618</v>
      </c>
      <c r="Z188" s="1">
        <f t="shared" si="136"/>
        <v>5612.45</v>
      </c>
      <c r="AA188" s="1">
        <v>5668.58</v>
      </c>
      <c r="AB188" s="1">
        <f t="shared" si="137"/>
        <v>56.130000000000109</v>
      </c>
      <c r="AC188" s="1">
        <f t="shared" si="138"/>
        <v>5668.58</v>
      </c>
      <c r="AD188" s="41">
        <v>5753.63</v>
      </c>
      <c r="AE188" s="1">
        <f t="shared" si="97"/>
        <v>85.050000000000182</v>
      </c>
      <c r="AF188" s="1">
        <f t="shared" si="98"/>
        <v>5753.63</v>
      </c>
    </row>
    <row r="189" spans="1:32">
      <c r="A189" s="11">
        <v>92600</v>
      </c>
      <c r="B189" s="11">
        <v>12101</v>
      </c>
      <c r="C189" s="11" t="s">
        <v>199</v>
      </c>
      <c r="D189" s="7">
        <v>0</v>
      </c>
      <c r="E189" s="7">
        <v>27821.17</v>
      </c>
      <c r="F189" s="7">
        <f t="shared" si="125"/>
        <v>-27821.17</v>
      </c>
      <c r="G189" s="7">
        <v>27821.17</v>
      </c>
      <c r="H189" s="7">
        <f t="shared" si="126"/>
        <v>27821.17</v>
      </c>
      <c r="I189" s="7">
        <v>30835.98</v>
      </c>
      <c r="J189" s="7">
        <f t="shared" si="127"/>
        <v>-3014.8100000000013</v>
      </c>
      <c r="K189" s="7">
        <v>3014.81</v>
      </c>
      <c r="L189" s="7">
        <v>30835.98</v>
      </c>
      <c r="M189" s="7">
        <f>30836.12-L189</f>
        <v>0.13999999999941792</v>
      </c>
      <c r="N189" s="7">
        <f t="shared" si="128"/>
        <v>30836.12</v>
      </c>
      <c r="O189" s="7">
        <v>30836.12</v>
      </c>
      <c r="P189" s="1">
        <f t="shared" si="129"/>
        <v>0</v>
      </c>
      <c r="Q189" s="1">
        <f t="shared" si="130"/>
        <v>30836.12</v>
      </c>
      <c r="R189" s="1">
        <v>30836.12</v>
      </c>
      <c r="S189" s="1">
        <f t="shared" si="131"/>
        <v>0</v>
      </c>
      <c r="T189" s="1">
        <f t="shared" si="132"/>
        <v>30836.12</v>
      </c>
      <c r="U189" s="1">
        <v>30836.12</v>
      </c>
      <c r="V189" s="1">
        <f t="shared" si="133"/>
        <v>0</v>
      </c>
      <c r="W189" s="1">
        <f t="shared" si="134"/>
        <v>30836.12</v>
      </c>
      <c r="X189" s="1">
        <v>31144.48</v>
      </c>
      <c r="Y189" s="41">
        <f t="shared" si="135"/>
        <v>308.36000000000058</v>
      </c>
      <c r="Z189" s="1">
        <f t="shared" si="136"/>
        <v>31144.48</v>
      </c>
      <c r="AA189" s="1">
        <v>31455.8</v>
      </c>
      <c r="AB189" s="1">
        <f t="shared" si="137"/>
        <v>311.31999999999971</v>
      </c>
      <c r="AC189" s="1">
        <f t="shared" si="138"/>
        <v>31455.8</v>
      </c>
      <c r="AD189" s="41">
        <v>31927.75</v>
      </c>
      <c r="AE189" s="1">
        <f t="shared" si="97"/>
        <v>471.95000000000073</v>
      </c>
      <c r="AF189" s="1">
        <f t="shared" si="98"/>
        <v>31927.75</v>
      </c>
    </row>
    <row r="190" spans="1:32">
      <c r="A190" s="11">
        <v>92900</v>
      </c>
      <c r="B190" s="11">
        <v>12101</v>
      </c>
      <c r="C190" s="11" t="s">
        <v>215</v>
      </c>
      <c r="D190" s="7">
        <v>0</v>
      </c>
      <c r="E190" s="7">
        <v>14141.7</v>
      </c>
      <c r="F190" s="7">
        <f t="shared" si="125"/>
        <v>-14141.7</v>
      </c>
      <c r="G190" s="7">
        <v>14141.7</v>
      </c>
      <c r="H190" s="7">
        <f t="shared" si="126"/>
        <v>14141.7</v>
      </c>
      <c r="I190" s="1">
        <v>15674.26</v>
      </c>
      <c r="J190" s="1">
        <f t="shared" si="127"/>
        <v>-1532.5599999999995</v>
      </c>
      <c r="K190" s="1">
        <v>1532.56</v>
      </c>
      <c r="L190" s="1">
        <f>H190+K190</f>
        <v>15674.26</v>
      </c>
      <c r="N190" s="1">
        <f t="shared" si="128"/>
        <v>15674.26</v>
      </c>
      <c r="O190" s="1">
        <v>15674.26</v>
      </c>
      <c r="P190" s="1">
        <f t="shared" si="129"/>
        <v>0</v>
      </c>
      <c r="Q190" s="1">
        <f t="shared" si="130"/>
        <v>15674.26</v>
      </c>
      <c r="R190" s="1">
        <v>15674.26</v>
      </c>
      <c r="S190" s="1">
        <f t="shared" si="131"/>
        <v>0</v>
      </c>
      <c r="T190" s="1">
        <f t="shared" si="132"/>
        <v>15674.26</v>
      </c>
      <c r="U190" s="1">
        <v>15674.26</v>
      </c>
      <c r="V190" s="1">
        <f t="shared" si="133"/>
        <v>0</v>
      </c>
      <c r="W190" s="1">
        <f t="shared" si="134"/>
        <v>15674.26</v>
      </c>
      <c r="X190" s="1">
        <v>15831</v>
      </c>
      <c r="Y190" s="41">
        <f t="shared" si="135"/>
        <v>156.73999999999978</v>
      </c>
      <c r="Z190" s="1">
        <f t="shared" si="136"/>
        <v>15831</v>
      </c>
      <c r="AA190" s="1">
        <v>15989.37</v>
      </c>
      <c r="AB190" s="1">
        <f t="shared" si="137"/>
        <v>158.3700000000008</v>
      </c>
      <c r="AC190" s="1">
        <f t="shared" si="138"/>
        <v>15989.37</v>
      </c>
      <c r="AD190" s="41">
        <v>16229.24</v>
      </c>
      <c r="AE190" s="1">
        <f t="shared" si="97"/>
        <v>239.86999999999898</v>
      </c>
      <c r="AF190" s="1">
        <f t="shared" si="98"/>
        <v>16229.24</v>
      </c>
    </row>
    <row r="191" spans="1:32">
      <c r="A191" s="11">
        <v>93100</v>
      </c>
      <c r="B191" s="11">
        <v>12101</v>
      </c>
      <c r="C191" s="11" t="s">
        <v>221</v>
      </c>
      <c r="D191" s="7">
        <v>0</v>
      </c>
      <c r="E191" s="7">
        <v>220405.23</v>
      </c>
      <c r="F191" s="7">
        <f t="shared" si="125"/>
        <v>-220405.23</v>
      </c>
      <c r="G191" s="7">
        <v>220405.23</v>
      </c>
      <c r="H191" s="7">
        <f t="shared" si="126"/>
        <v>220405.23</v>
      </c>
      <c r="I191" s="1">
        <v>235693.13</v>
      </c>
      <c r="J191" s="1">
        <f t="shared" si="127"/>
        <v>-15287.899999999994</v>
      </c>
      <c r="K191" s="1">
        <v>15287.9</v>
      </c>
      <c r="L191" s="1">
        <f>H191+K191</f>
        <v>235693.13</v>
      </c>
      <c r="M191" s="7">
        <f>211749.16-L191</f>
        <v>-23943.97</v>
      </c>
      <c r="N191" s="1">
        <f t="shared" si="128"/>
        <v>211749.16</v>
      </c>
      <c r="O191" s="1">
        <v>203112.28</v>
      </c>
      <c r="P191" s="1">
        <f t="shared" si="129"/>
        <v>-8636.8800000000047</v>
      </c>
      <c r="Q191" s="1">
        <f t="shared" si="130"/>
        <v>203112.28</v>
      </c>
      <c r="R191" s="1">
        <v>195018.88</v>
      </c>
      <c r="S191" s="1">
        <f t="shared" si="131"/>
        <v>-8093.3999999999942</v>
      </c>
      <c r="T191" s="1">
        <f t="shared" si="132"/>
        <v>195018.88</v>
      </c>
      <c r="U191" s="1">
        <v>222003.18</v>
      </c>
      <c r="V191" s="1">
        <f t="shared" si="133"/>
        <v>26984.299999999988</v>
      </c>
      <c r="W191" s="1">
        <f t="shared" si="134"/>
        <v>222003.18</v>
      </c>
      <c r="X191" s="1">
        <v>285266.57</v>
      </c>
      <c r="Y191" s="41">
        <f t="shared" si="135"/>
        <v>63263.390000000014</v>
      </c>
      <c r="Z191" s="1">
        <f t="shared" si="136"/>
        <v>285266.57</v>
      </c>
      <c r="AA191" s="1">
        <v>268189.89</v>
      </c>
      <c r="AB191" s="1">
        <f t="shared" si="137"/>
        <v>-17076.679999999993</v>
      </c>
      <c r="AC191" s="1">
        <f t="shared" si="138"/>
        <v>268189.89</v>
      </c>
      <c r="AD191" s="41">
        <v>281156.65999999997</v>
      </c>
      <c r="AE191" s="1">
        <f t="shared" si="97"/>
        <v>12966.76999999996</v>
      </c>
      <c r="AF191" s="1">
        <f t="shared" si="98"/>
        <v>281156.65999999997</v>
      </c>
    </row>
    <row r="192" spans="1:32">
      <c r="A192" s="11">
        <v>92000</v>
      </c>
      <c r="B192" s="11">
        <v>12700</v>
      </c>
      <c r="C192" s="11" t="s">
        <v>82</v>
      </c>
      <c r="D192" s="6">
        <v>0</v>
      </c>
      <c r="E192" s="6">
        <v>77762.320000000007</v>
      </c>
      <c r="F192" s="6">
        <f t="shared" si="125"/>
        <v>-77762.320000000007</v>
      </c>
      <c r="G192" s="6">
        <v>77762.320000000007</v>
      </c>
      <c r="H192" s="6">
        <f t="shared" si="126"/>
        <v>77762.320000000007</v>
      </c>
      <c r="I192" s="1">
        <v>43232.160000000003</v>
      </c>
      <c r="J192" s="1">
        <f t="shared" si="127"/>
        <v>34530.160000000003</v>
      </c>
      <c r="K192" s="1">
        <v>-34530.160000000003</v>
      </c>
      <c r="L192" s="1">
        <f>H192+K192</f>
        <v>43232.160000000003</v>
      </c>
      <c r="M192" s="7">
        <v>-43232.160000000003</v>
      </c>
      <c r="N192" s="1">
        <f t="shared" si="128"/>
        <v>0</v>
      </c>
      <c r="O192" s="1"/>
      <c r="P192" s="1">
        <f t="shared" si="129"/>
        <v>0</v>
      </c>
      <c r="Q192" s="1">
        <f t="shared" si="130"/>
        <v>0</v>
      </c>
      <c r="S192" s="1">
        <f t="shared" si="131"/>
        <v>0</v>
      </c>
      <c r="T192" s="1">
        <f t="shared" si="132"/>
        <v>0</v>
      </c>
      <c r="V192" s="1">
        <f t="shared" si="133"/>
        <v>0</v>
      </c>
      <c r="W192" s="1">
        <f t="shared" si="134"/>
        <v>0</v>
      </c>
      <c r="X192" s="1">
        <v>0</v>
      </c>
      <c r="Y192" s="41">
        <f t="shared" si="135"/>
        <v>0</v>
      </c>
      <c r="Z192" s="1">
        <f t="shared" si="136"/>
        <v>0</v>
      </c>
      <c r="AA192" s="1">
        <v>0</v>
      </c>
      <c r="AB192" s="1">
        <f t="shared" si="137"/>
        <v>0</v>
      </c>
      <c r="AC192" s="1">
        <f t="shared" si="138"/>
        <v>0</v>
      </c>
      <c r="AD192" s="41">
        <v>0</v>
      </c>
      <c r="AE192" s="1">
        <f t="shared" si="97"/>
        <v>0</v>
      </c>
      <c r="AF192" s="1">
        <f t="shared" si="98"/>
        <v>0</v>
      </c>
    </row>
    <row r="193" spans="1:32">
      <c r="A193" s="11">
        <v>13000</v>
      </c>
      <c r="B193" s="11">
        <v>13000</v>
      </c>
      <c r="C193" s="11" t="s">
        <v>80</v>
      </c>
      <c r="D193" s="7">
        <v>32654.06</v>
      </c>
      <c r="E193" s="7">
        <v>43438.11</v>
      </c>
      <c r="F193" s="7">
        <f t="shared" si="125"/>
        <v>-10784.05</v>
      </c>
      <c r="G193" s="7">
        <v>10784.05</v>
      </c>
      <c r="H193" s="7">
        <f t="shared" si="126"/>
        <v>43438.11</v>
      </c>
      <c r="I193" s="1">
        <v>44026.78</v>
      </c>
      <c r="J193" s="1">
        <f t="shared" si="127"/>
        <v>-588.66999999999825</v>
      </c>
      <c r="K193" s="1">
        <v>588.66999999999996</v>
      </c>
      <c r="L193" s="1">
        <f>H193+K193</f>
        <v>44026.78</v>
      </c>
      <c r="M193" s="7">
        <f>8055.74-L193</f>
        <v>-35971.040000000001</v>
      </c>
      <c r="N193" s="1">
        <f t="shared" si="128"/>
        <v>8055.739999999998</v>
      </c>
      <c r="O193" s="1">
        <v>26659.31</v>
      </c>
      <c r="P193" s="1">
        <f t="shared" si="129"/>
        <v>18603.570000000003</v>
      </c>
      <c r="Q193" s="1">
        <f t="shared" si="130"/>
        <v>26659.31</v>
      </c>
      <c r="S193" s="1">
        <f t="shared" si="131"/>
        <v>-26659.31</v>
      </c>
      <c r="T193" s="1">
        <f t="shared" si="132"/>
        <v>0</v>
      </c>
      <c r="U193" s="1">
        <f>R193+T193</f>
        <v>0</v>
      </c>
      <c r="V193" s="1">
        <f t="shared" si="133"/>
        <v>0</v>
      </c>
      <c r="W193" s="1">
        <f t="shared" si="134"/>
        <v>0</v>
      </c>
      <c r="X193" s="1">
        <v>2070.9899999999998</v>
      </c>
      <c r="Y193" s="41">
        <f t="shared" si="135"/>
        <v>2070.9899999999998</v>
      </c>
      <c r="Z193" s="1">
        <f t="shared" si="136"/>
        <v>2070.9899999999998</v>
      </c>
      <c r="AA193" s="1">
        <v>0</v>
      </c>
      <c r="AB193" s="1">
        <f t="shared" si="137"/>
        <v>-2070.9899999999998</v>
      </c>
      <c r="AC193" s="1">
        <f t="shared" si="138"/>
        <v>0</v>
      </c>
      <c r="AD193" s="41">
        <v>0</v>
      </c>
      <c r="AE193" s="1">
        <f t="shared" si="97"/>
        <v>0</v>
      </c>
      <c r="AF193" s="1">
        <f t="shared" si="98"/>
        <v>0</v>
      </c>
    </row>
    <row r="194" spans="1:32">
      <c r="A194" s="11">
        <v>13300</v>
      </c>
      <c r="B194" s="11">
        <v>13000</v>
      </c>
      <c r="C194" s="11" t="s">
        <v>698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47">
        <v>0</v>
      </c>
      <c r="R194" s="41">
        <v>8378.58</v>
      </c>
      <c r="S194" s="1">
        <f t="shared" si="131"/>
        <v>8378.58</v>
      </c>
      <c r="T194" s="1">
        <f t="shared" si="132"/>
        <v>8378.58</v>
      </c>
      <c r="U194" s="1">
        <v>8378.58</v>
      </c>
      <c r="V194" s="1">
        <f t="shared" si="133"/>
        <v>0</v>
      </c>
      <c r="W194" s="1">
        <f t="shared" si="134"/>
        <v>8378.58</v>
      </c>
      <c r="X194" s="41">
        <v>16706.52</v>
      </c>
      <c r="Y194" s="41">
        <f t="shared" si="135"/>
        <v>8327.94</v>
      </c>
      <c r="Z194" s="1">
        <f t="shared" si="136"/>
        <v>16706.52</v>
      </c>
      <c r="AA194" s="41">
        <v>0</v>
      </c>
      <c r="AB194" s="41">
        <f t="shared" si="137"/>
        <v>-16706.52</v>
      </c>
      <c r="AC194" s="1">
        <f t="shared" si="138"/>
        <v>0</v>
      </c>
      <c r="AD194" s="41">
        <v>0</v>
      </c>
      <c r="AE194" s="1">
        <f t="shared" ref="AE194:AE257" si="139">AD194-AC194</f>
        <v>0</v>
      </c>
      <c r="AF194" s="1">
        <f t="shared" ref="AF194:AF257" si="140">AC194+AE194</f>
        <v>0</v>
      </c>
    </row>
    <row r="195" spans="1:32">
      <c r="A195" s="11">
        <v>15100</v>
      </c>
      <c r="B195" s="11">
        <v>13000</v>
      </c>
      <c r="C195" s="11" t="s">
        <v>93</v>
      </c>
      <c r="D195" s="7">
        <v>17119.05</v>
      </c>
      <c r="E195" s="7">
        <v>0</v>
      </c>
      <c r="F195" s="7">
        <f>D195-E195</f>
        <v>17119.05</v>
      </c>
      <c r="G195" s="7">
        <v>-17119.05</v>
      </c>
      <c r="H195" s="7">
        <f>D195+G195</f>
        <v>0</v>
      </c>
      <c r="I195" s="1">
        <v>34510.9</v>
      </c>
      <c r="J195" s="1">
        <f>H195-I195</f>
        <v>-34510.9</v>
      </c>
      <c r="K195" s="1">
        <v>34510.9</v>
      </c>
      <c r="L195" s="1">
        <f>H195+K195</f>
        <v>34510.9</v>
      </c>
      <c r="M195" s="7">
        <f>34408.35-L195</f>
        <v>-102.55000000000291</v>
      </c>
      <c r="N195" s="1">
        <f>L195+M195</f>
        <v>34408.35</v>
      </c>
      <c r="O195" s="1">
        <v>32029.25</v>
      </c>
      <c r="P195" s="1">
        <f>O195-N195</f>
        <v>-2379.0999999999985</v>
      </c>
      <c r="Q195" s="1">
        <f>N195+P195</f>
        <v>32029.25</v>
      </c>
      <c r="R195" s="1">
        <v>23852.28</v>
      </c>
      <c r="S195" s="1">
        <f t="shared" si="131"/>
        <v>-8176.9700000000012</v>
      </c>
      <c r="T195" s="1">
        <f t="shared" si="132"/>
        <v>23852.28</v>
      </c>
      <c r="U195" s="1">
        <v>24775.41</v>
      </c>
      <c r="V195" s="1">
        <f t="shared" si="133"/>
        <v>923.13000000000102</v>
      </c>
      <c r="W195" s="1">
        <f t="shared" si="134"/>
        <v>24775.41</v>
      </c>
      <c r="X195" s="1">
        <v>39440.839999999997</v>
      </c>
      <c r="Y195" s="41">
        <f t="shared" si="135"/>
        <v>14665.429999999997</v>
      </c>
      <c r="Z195" s="1">
        <f t="shared" si="136"/>
        <v>39440.839999999997</v>
      </c>
      <c r="AA195" s="1">
        <v>18558.759999999998</v>
      </c>
      <c r="AB195" s="1">
        <f t="shared" si="137"/>
        <v>-20882.079999999998</v>
      </c>
      <c r="AC195" s="1">
        <f t="shared" si="138"/>
        <v>18558.759999999998</v>
      </c>
      <c r="AD195" s="41">
        <v>9569.42</v>
      </c>
      <c r="AE195" s="1">
        <f t="shared" si="139"/>
        <v>-8989.3399999999983</v>
      </c>
      <c r="AF195" s="1">
        <f t="shared" si="140"/>
        <v>9569.42</v>
      </c>
    </row>
    <row r="196" spans="1:32">
      <c r="A196" s="13">
        <v>16400</v>
      </c>
      <c r="B196" s="11">
        <v>13000</v>
      </c>
      <c r="C196" s="11" t="s">
        <v>410</v>
      </c>
      <c r="D196" s="7">
        <v>28225.26</v>
      </c>
      <c r="E196" s="7">
        <v>28309.53</v>
      </c>
      <c r="F196" s="7">
        <f>D196-E196</f>
        <v>-84.270000000000437</v>
      </c>
      <c r="G196" s="7">
        <v>84.27</v>
      </c>
      <c r="H196" s="7">
        <f>D196+G196</f>
        <v>28309.53</v>
      </c>
      <c r="I196" s="1">
        <v>27083.56</v>
      </c>
      <c r="J196" s="1">
        <f>H196-I196</f>
        <v>1225.9699999999975</v>
      </c>
      <c r="K196" s="16">
        <v>-1225.97</v>
      </c>
      <c r="L196" s="21">
        <f>H196+K196</f>
        <v>27083.559999999998</v>
      </c>
      <c r="M196" s="7">
        <f>25244.82-L196</f>
        <v>-1838.739999999998</v>
      </c>
      <c r="N196" s="1">
        <f>L196+M196</f>
        <v>25244.82</v>
      </c>
      <c r="O196" s="1">
        <v>26140.26</v>
      </c>
      <c r="P196" s="1">
        <f>O196-N196</f>
        <v>895.43999999999869</v>
      </c>
      <c r="Q196" s="1">
        <f>N196+P196</f>
        <v>26140.26</v>
      </c>
      <c r="R196" s="41">
        <v>16825.39</v>
      </c>
      <c r="S196" s="1">
        <f t="shared" si="131"/>
        <v>-9314.869999999999</v>
      </c>
      <c r="T196" s="1">
        <f t="shared" si="132"/>
        <v>16825.39</v>
      </c>
      <c r="U196" s="41">
        <v>9500.24</v>
      </c>
      <c r="V196" s="1">
        <f t="shared" si="133"/>
        <v>-7325.15</v>
      </c>
      <c r="W196" s="1">
        <f t="shared" si="134"/>
        <v>9500.24</v>
      </c>
      <c r="X196" s="1">
        <v>10969</v>
      </c>
      <c r="Y196" s="41">
        <f t="shared" si="135"/>
        <v>1468.7600000000002</v>
      </c>
      <c r="Z196" s="1">
        <f t="shared" si="136"/>
        <v>10969</v>
      </c>
      <c r="AA196" s="41">
        <v>9801.74</v>
      </c>
      <c r="AB196" s="1">
        <f t="shared" si="137"/>
        <v>-1167.2600000000002</v>
      </c>
      <c r="AC196" s="1">
        <f t="shared" si="138"/>
        <v>9801.74</v>
      </c>
      <c r="AD196" s="41">
        <v>10126.84</v>
      </c>
      <c r="AE196" s="1">
        <f t="shared" si="139"/>
        <v>325.10000000000036</v>
      </c>
      <c r="AF196" s="1">
        <f t="shared" si="140"/>
        <v>10126.84</v>
      </c>
    </row>
    <row r="197" spans="1:32">
      <c r="A197" s="42">
        <v>16500</v>
      </c>
      <c r="B197" s="11">
        <v>13000</v>
      </c>
      <c r="C197" s="39" t="s">
        <v>810</v>
      </c>
      <c r="D197" s="7"/>
      <c r="E197" s="7"/>
      <c r="F197" s="7"/>
      <c r="G197" s="7"/>
      <c r="H197" s="10"/>
      <c r="I197" s="16"/>
      <c r="J197" s="16"/>
      <c r="K197" s="16"/>
      <c r="L197" s="1"/>
      <c r="N197" s="1"/>
      <c r="O197" s="1"/>
      <c r="R197" s="41"/>
      <c r="T197" s="1"/>
      <c r="U197" s="41"/>
      <c r="V197" s="1"/>
      <c r="W197" s="1">
        <v>0</v>
      </c>
      <c r="X197" s="1">
        <v>1818.1</v>
      </c>
      <c r="Y197" s="41">
        <f t="shared" si="135"/>
        <v>1818.1</v>
      </c>
      <c r="Z197" s="1">
        <f t="shared" si="136"/>
        <v>1818.1</v>
      </c>
      <c r="AA197" s="41">
        <v>0</v>
      </c>
      <c r="AB197" s="1">
        <f t="shared" si="137"/>
        <v>-1818.1</v>
      </c>
      <c r="AC197" s="1">
        <f t="shared" si="138"/>
        <v>0</v>
      </c>
      <c r="AD197" s="41">
        <v>0</v>
      </c>
      <c r="AE197" s="1">
        <f t="shared" si="139"/>
        <v>0</v>
      </c>
      <c r="AF197" s="1">
        <f t="shared" si="140"/>
        <v>0</v>
      </c>
    </row>
    <row r="198" spans="1:32">
      <c r="A198" s="11">
        <v>17000</v>
      </c>
      <c r="B198" s="11">
        <v>13000</v>
      </c>
      <c r="C198" s="42" t="s">
        <v>795</v>
      </c>
      <c r="D198" s="7"/>
      <c r="E198" s="7"/>
      <c r="F198" s="7"/>
      <c r="G198" s="7"/>
      <c r="H198" s="7"/>
      <c r="I198" s="16"/>
      <c r="J198" s="1"/>
      <c r="K198" s="16"/>
      <c r="L198" s="1"/>
      <c r="N198" s="1"/>
      <c r="O198" s="1"/>
      <c r="R198" s="41"/>
      <c r="T198" s="1"/>
      <c r="V198" s="1"/>
      <c r="W198" s="1">
        <v>0</v>
      </c>
      <c r="X198" s="1">
        <v>1259.01</v>
      </c>
      <c r="Y198" s="41">
        <f t="shared" si="135"/>
        <v>1259.01</v>
      </c>
      <c r="Z198" s="1">
        <f t="shared" si="136"/>
        <v>1259.01</v>
      </c>
      <c r="AA198" s="41">
        <v>15648.93</v>
      </c>
      <c r="AB198" s="1">
        <f t="shared" si="137"/>
        <v>14389.92</v>
      </c>
      <c r="AC198" s="1">
        <f t="shared" si="138"/>
        <v>15648.93</v>
      </c>
      <c r="AD198" s="41">
        <v>25734.73</v>
      </c>
      <c r="AE198" s="1">
        <f t="shared" si="139"/>
        <v>10085.799999999999</v>
      </c>
      <c r="AF198" s="1">
        <f t="shared" si="140"/>
        <v>25734.73</v>
      </c>
    </row>
    <row r="199" spans="1:32">
      <c r="A199" s="13">
        <v>17100</v>
      </c>
      <c r="B199" s="11">
        <v>13000</v>
      </c>
      <c r="C199" s="11" t="s">
        <v>392</v>
      </c>
      <c r="D199" s="7">
        <v>114015.61</v>
      </c>
      <c r="E199" s="7">
        <v>145798.43</v>
      </c>
      <c r="F199" s="7">
        <f>D199-E199</f>
        <v>-31782.819999999992</v>
      </c>
      <c r="G199" s="7">
        <v>31782.82</v>
      </c>
      <c r="H199" s="7">
        <f>D199+G199</f>
        <v>145798.43</v>
      </c>
      <c r="I199" s="16">
        <v>172175.25</v>
      </c>
      <c r="J199" s="16">
        <f>H199-I199</f>
        <v>-26376.820000000007</v>
      </c>
      <c r="K199" s="16">
        <v>26376.82</v>
      </c>
      <c r="L199" s="16">
        <f>H199+K199</f>
        <v>172175.25</v>
      </c>
      <c r="M199" s="7">
        <f>130985.82-L199</f>
        <v>-41189.429999999993</v>
      </c>
      <c r="N199" s="1">
        <f>L199+M199</f>
        <v>130985.82</v>
      </c>
      <c r="O199" s="1">
        <v>142762.59</v>
      </c>
      <c r="P199" s="1">
        <f>O199-N199</f>
        <v>11776.76999999999</v>
      </c>
      <c r="Q199" s="1">
        <f>N199+P199</f>
        <v>142762.59</v>
      </c>
      <c r="R199" s="41">
        <v>67170.94</v>
      </c>
      <c r="S199" s="1">
        <f>R199-Q199</f>
        <v>-75591.649999999994</v>
      </c>
      <c r="T199" s="1">
        <f>Q199+S199</f>
        <v>67170.94</v>
      </c>
      <c r="U199" s="1">
        <v>56340.06</v>
      </c>
      <c r="V199" s="1">
        <f>U199-T199</f>
        <v>-10830.880000000005</v>
      </c>
      <c r="W199" s="1">
        <f>T199+V199</f>
        <v>56340.06</v>
      </c>
      <c r="X199" s="1">
        <v>71510.740000000005</v>
      </c>
      <c r="Y199" s="41">
        <f t="shared" si="135"/>
        <v>15170.680000000008</v>
      </c>
      <c r="Z199" s="1">
        <f t="shared" si="136"/>
        <v>71510.740000000005</v>
      </c>
      <c r="AA199" s="41">
        <v>58772.7</v>
      </c>
      <c r="AB199" s="1">
        <f t="shared" si="137"/>
        <v>-12738.040000000008</v>
      </c>
      <c r="AC199" s="1">
        <f t="shared" si="138"/>
        <v>58772.7</v>
      </c>
      <c r="AD199" s="41">
        <v>59769.55</v>
      </c>
      <c r="AE199" s="1">
        <f t="shared" si="139"/>
        <v>996.85000000000582</v>
      </c>
      <c r="AF199" s="1">
        <f t="shared" si="140"/>
        <v>59769.55</v>
      </c>
    </row>
    <row r="200" spans="1:32">
      <c r="A200" s="13">
        <v>23110</v>
      </c>
      <c r="B200" s="11">
        <v>13000</v>
      </c>
      <c r="C200" s="11" t="s">
        <v>317</v>
      </c>
      <c r="D200" s="8"/>
      <c r="E200" s="8"/>
      <c r="F200" s="8"/>
      <c r="G200" s="8"/>
      <c r="H200" s="8"/>
      <c r="I200" s="8"/>
      <c r="J200" s="8"/>
      <c r="K200" s="8"/>
      <c r="L200" s="10">
        <v>36175.160000000003</v>
      </c>
      <c r="M200" s="10">
        <f>38787.61-L200</f>
        <v>2612.4499999999971</v>
      </c>
      <c r="N200" s="7">
        <f>L200+M200</f>
        <v>38787.61</v>
      </c>
      <c r="O200" s="7">
        <v>38756.370000000003</v>
      </c>
      <c r="P200" s="1">
        <f>O200-N200</f>
        <v>-31.239999999997963</v>
      </c>
      <c r="Q200" s="1">
        <f>N200+P200</f>
        <v>38756.370000000003</v>
      </c>
      <c r="R200" s="41">
        <v>20014.96</v>
      </c>
      <c r="S200" s="1">
        <f>R200-Q200</f>
        <v>-18741.410000000003</v>
      </c>
      <c r="T200" s="1">
        <f>Q200+S200</f>
        <v>20014.96</v>
      </c>
      <c r="U200" s="41">
        <v>11636.38</v>
      </c>
      <c r="V200" s="1">
        <f>U200-T200</f>
        <v>-8378.58</v>
      </c>
      <c r="W200" s="1">
        <f>T200+V200</f>
        <v>11636.38</v>
      </c>
      <c r="X200" s="41">
        <v>16174.85</v>
      </c>
      <c r="Y200" s="41">
        <f t="shared" si="135"/>
        <v>4538.4700000000012</v>
      </c>
      <c r="Z200" s="1">
        <f t="shared" si="136"/>
        <v>16174.85</v>
      </c>
      <c r="AA200" s="41">
        <v>11614.89</v>
      </c>
      <c r="AB200" s="41">
        <f t="shared" si="137"/>
        <v>-4559.9600000000009</v>
      </c>
      <c r="AC200" s="1">
        <f t="shared" si="138"/>
        <v>11614.89</v>
      </c>
      <c r="AD200" s="41">
        <v>12050.41</v>
      </c>
      <c r="AE200" s="1">
        <f t="shared" si="139"/>
        <v>435.52000000000044</v>
      </c>
      <c r="AF200" s="1">
        <f t="shared" si="140"/>
        <v>12050.41</v>
      </c>
    </row>
    <row r="201" spans="1:32">
      <c r="A201" s="13">
        <v>23111</v>
      </c>
      <c r="B201" s="11">
        <v>13000</v>
      </c>
      <c r="C201" s="42" t="s">
        <v>801</v>
      </c>
      <c r="D201" s="7"/>
      <c r="E201" s="7"/>
      <c r="F201" s="7"/>
      <c r="G201" s="7"/>
      <c r="H201" s="7"/>
      <c r="I201" s="10"/>
      <c r="J201" s="10"/>
      <c r="K201" s="10"/>
      <c r="L201" s="7"/>
      <c r="M201" s="10"/>
      <c r="N201" s="7"/>
      <c r="O201" s="7"/>
      <c r="R201" s="41"/>
      <c r="T201" s="1"/>
      <c r="V201" s="1"/>
      <c r="W201" s="1">
        <v>0</v>
      </c>
      <c r="X201" s="1">
        <v>1086.1600000000001</v>
      </c>
      <c r="Y201" s="41">
        <f t="shared" si="135"/>
        <v>1086.1600000000001</v>
      </c>
      <c r="Z201" s="1">
        <f t="shared" si="136"/>
        <v>1086.1600000000001</v>
      </c>
      <c r="AA201" s="41">
        <v>0</v>
      </c>
      <c r="AB201" s="41">
        <f t="shared" si="137"/>
        <v>-1086.1600000000001</v>
      </c>
      <c r="AC201" s="1">
        <f t="shared" si="138"/>
        <v>0</v>
      </c>
      <c r="AD201" s="41">
        <v>0</v>
      </c>
      <c r="AE201" s="1">
        <f t="shared" si="139"/>
        <v>0</v>
      </c>
      <c r="AF201" s="1">
        <f t="shared" si="140"/>
        <v>0</v>
      </c>
    </row>
    <row r="202" spans="1:32">
      <c r="A202" s="42">
        <v>23113</v>
      </c>
      <c r="B202" s="11">
        <v>13000</v>
      </c>
      <c r="C202" s="11" t="s">
        <v>341</v>
      </c>
      <c r="D202" s="7">
        <v>506788.31</v>
      </c>
      <c r="E202" s="7">
        <v>499736.78</v>
      </c>
      <c r="F202" s="7">
        <f>D202-E202</f>
        <v>7051.5299999999697</v>
      </c>
      <c r="G202" s="7">
        <v>-7051.53</v>
      </c>
      <c r="H202" s="7">
        <f>D202+G202</f>
        <v>499736.77999999997</v>
      </c>
      <c r="I202" s="7">
        <v>407670.9</v>
      </c>
      <c r="J202" s="7">
        <f>H202-I202</f>
        <v>92065.879999999946</v>
      </c>
      <c r="K202" s="7">
        <v>-92065.88</v>
      </c>
      <c r="L202" s="7">
        <v>407670.9</v>
      </c>
      <c r="M202" s="7">
        <f>349905.73-L202</f>
        <v>-57765.170000000042</v>
      </c>
      <c r="N202" s="7">
        <f>L202+M202</f>
        <v>349905.73</v>
      </c>
      <c r="O202" s="7">
        <v>373788.02</v>
      </c>
      <c r="P202" s="1">
        <f>O202-N202</f>
        <v>23882.290000000037</v>
      </c>
      <c r="Q202" s="1">
        <f>N202+P202</f>
        <v>373788.02</v>
      </c>
      <c r="R202" s="41">
        <v>265886.08000000002</v>
      </c>
      <c r="S202" s="1">
        <f>R202-Q202</f>
        <v>-107901.94</v>
      </c>
      <c r="T202" s="1">
        <f>Q202+S202</f>
        <v>265886.08000000002</v>
      </c>
      <c r="U202" s="41">
        <v>204315.51999999999</v>
      </c>
      <c r="V202" s="1">
        <f>U202-T202</f>
        <v>-61570.560000000027</v>
      </c>
      <c r="W202" s="1">
        <f>T202+V202</f>
        <v>204315.51999999999</v>
      </c>
      <c r="X202" s="41">
        <v>203079.76</v>
      </c>
      <c r="Y202" s="41">
        <f t="shared" si="135"/>
        <v>-1235.7599999999802</v>
      </c>
      <c r="Z202" s="1">
        <f t="shared" si="136"/>
        <v>203079.76</v>
      </c>
      <c r="AA202" s="41">
        <v>167300.41</v>
      </c>
      <c r="AB202" s="41">
        <f t="shared" si="137"/>
        <v>-35779.350000000006</v>
      </c>
      <c r="AC202" s="1">
        <f t="shared" si="138"/>
        <v>167300.41</v>
      </c>
      <c r="AD202" s="41">
        <v>150134.17000000001</v>
      </c>
      <c r="AE202" s="1">
        <f t="shared" si="139"/>
        <v>-17166.239999999991</v>
      </c>
      <c r="AF202" s="1">
        <f t="shared" si="140"/>
        <v>150134.17000000001</v>
      </c>
    </row>
    <row r="203" spans="1:32">
      <c r="A203" s="11">
        <v>32000</v>
      </c>
      <c r="B203" s="11">
        <v>13000</v>
      </c>
      <c r="C203" s="11" t="s">
        <v>359</v>
      </c>
      <c r="D203" s="7">
        <v>88376.24</v>
      </c>
      <c r="E203" s="7">
        <v>81580.27</v>
      </c>
      <c r="F203" s="7">
        <f>D203-E203</f>
        <v>6795.9700000000012</v>
      </c>
      <c r="G203" s="7">
        <v>-6795.97</v>
      </c>
      <c r="H203" s="7">
        <f>D203+G203</f>
        <v>81580.27</v>
      </c>
      <c r="I203" s="1">
        <v>76122.34</v>
      </c>
      <c r="J203" s="1">
        <f>H203-I203</f>
        <v>5457.9300000000076</v>
      </c>
      <c r="K203" s="1">
        <v>-5457.93</v>
      </c>
      <c r="L203" s="1">
        <f>H203+K203</f>
        <v>76122.34</v>
      </c>
      <c r="M203" s="7">
        <f>81000.92-L203</f>
        <v>4878.5800000000017</v>
      </c>
      <c r="N203" s="1">
        <f>L203+M203</f>
        <v>81000.92</v>
      </c>
      <c r="O203" s="1">
        <v>63114.61</v>
      </c>
      <c r="P203" s="1">
        <f>O203-N203</f>
        <v>-17886.309999999998</v>
      </c>
      <c r="Q203" s="1">
        <f>N203+P203</f>
        <v>63114.61</v>
      </c>
      <c r="R203" s="41">
        <v>45074.91</v>
      </c>
      <c r="S203" s="1">
        <f>R203-Q203</f>
        <v>-18039.699999999997</v>
      </c>
      <c r="T203" s="1">
        <f>Q203+S203</f>
        <v>45074.91</v>
      </c>
      <c r="U203" s="41">
        <v>55939.94</v>
      </c>
      <c r="V203" s="1">
        <f>U203-T203</f>
        <v>10865.029999999999</v>
      </c>
      <c r="W203" s="1">
        <f>T203+V203</f>
        <v>55939.94</v>
      </c>
      <c r="X203" s="41">
        <v>56661.49</v>
      </c>
      <c r="Y203" s="41">
        <f t="shared" si="135"/>
        <v>721.54999999999563</v>
      </c>
      <c r="Z203" s="1">
        <f t="shared" si="136"/>
        <v>56661.49</v>
      </c>
      <c r="AA203" s="41">
        <v>49209.39</v>
      </c>
      <c r="AB203" s="41">
        <f t="shared" si="137"/>
        <v>-7452.0999999999985</v>
      </c>
      <c r="AC203" s="1">
        <f t="shared" si="138"/>
        <v>49209.39</v>
      </c>
      <c r="AD203" s="41">
        <v>32054</v>
      </c>
      <c r="AE203" s="1">
        <f t="shared" si="139"/>
        <v>-17155.39</v>
      </c>
      <c r="AF203" s="1">
        <f t="shared" si="140"/>
        <v>32054</v>
      </c>
    </row>
    <row r="204" spans="1:32">
      <c r="A204" s="11">
        <v>33400</v>
      </c>
      <c r="B204" s="11">
        <v>13000</v>
      </c>
      <c r="C204" s="11" t="s">
        <v>128</v>
      </c>
      <c r="D204" s="7">
        <v>41498.25</v>
      </c>
      <c r="E204" s="7">
        <v>42619.71</v>
      </c>
      <c r="F204" s="7">
        <f>D204-E204</f>
        <v>-1121.4599999999991</v>
      </c>
      <c r="G204" s="7">
        <v>1121.46</v>
      </c>
      <c r="H204" s="7">
        <f>D204+G204</f>
        <v>42619.71</v>
      </c>
      <c r="I204" s="1">
        <v>27210.12</v>
      </c>
      <c r="J204" s="1">
        <f>H204-I204</f>
        <v>15409.59</v>
      </c>
      <c r="K204" s="1">
        <v>-15409.59</v>
      </c>
      <c r="L204" s="1">
        <f>H204+K204</f>
        <v>27210.12</v>
      </c>
      <c r="M204" s="7">
        <f>25298.7-L204</f>
        <v>-1911.4199999999983</v>
      </c>
      <c r="N204" s="1">
        <f>L204+M204</f>
        <v>25298.7</v>
      </c>
      <c r="O204" s="1">
        <v>25298.7</v>
      </c>
      <c r="P204" s="1">
        <f>O204-N204</f>
        <v>0</v>
      </c>
      <c r="Q204" s="1">
        <f>N204+P204</f>
        <v>25298.7</v>
      </c>
      <c r="R204" s="1">
        <v>17552.77</v>
      </c>
      <c r="S204" s="1">
        <f>R204-Q204</f>
        <v>-7745.93</v>
      </c>
      <c r="T204" s="1">
        <f>Q204+S204</f>
        <v>17552.77</v>
      </c>
      <c r="U204" s="1">
        <v>9564.3799999999992</v>
      </c>
      <c r="V204" s="1">
        <f>U204-T204</f>
        <v>-7988.3900000000012</v>
      </c>
      <c r="W204" s="1">
        <f>T204+V204</f>
        <v>9564.3799999999992</v>
      </c>
      <c r="X204" s="1">
        <v>11776.65</v>
      </c>
      <c r="Y204" s="41">
        <f t="shared" si="135"/>
        <v>2212.2700000000004</v>
      </c>
      <c r="Z204" s="1">
        <f t="shared" si="136"/>
        <v>11776.65</v>
      </c>
      <c r="AA204" s="1">
        <v>0</v>
      </c>
      <c r="AB204" s="1">
        <f t="shared" si="137"/>
        <v>-11776.65</v>
      </c>
      <c r="AC204" s="1">
        <f t="shared" si="138"/>
        <v>0</v>
      </c>
      <c r="AD204" s="41">
        <v>0</v>
      </c>
      <c r="AE204" s="1">
        <f t="shared" si="139"/>
        <v>0</v>
      </c>
      <c r="AF204" s="1">
        <f t="shared" si="140"/>
        <v>0</v>
      </c>
    </row>
    <row r="205" spans="1:32">
      <c r="A205" s="11">
        <v>33600</v>
      </c>
      <c r="B205" s="11">
        <v>13000</v>
      </c>
      <c r="C205" s="11" t="s">
        <v>566</v>
      </c>
      <c r="D205" s="7">
        <v>11155.9</v>
      </c>
      <c r="E205" s="7">
        <v>30818.97</v>
      </c>
      <c r="F205" s="7">
        <f>D205-E205</f>
        <v>-19663.07</v>
      </c>
      <c r="G205" s="7">
        <v>19663.07</v>
      </c>
      <c r="H205" s="7">
        <f>D205+G205</f>
        <v>30818.97</v>
      </c>
      <c r="I205" s="1">
        <v>28142.1</v>
      </c>
      <c r="J205" s="1">
        <f>H205-I205</f>
        <v>2676.8700000000026</v>
      </c>
      <c r="K205" s="1">
        <v>-2676.87</v>
      </c>
      <c r="L205" s="1">
        <f>H205+K205</f>
        <v>28142.100000000002</v>
      </c>
      <c r="M205" s="7">
        <f>37671.94-L205</f>
        <v>9529.84</v>
      </c>
      <c r="N205" s="1">
        <f>L205+M205</f>
        <v>37671.94</v>
      </c>
      <c r="O205" s="1">
        <v>37048.35</v>
      </c>
      <c r="P205" s="1">
        <f>O205-N205</f>
        <v>-623.59000000000378</v>
      </c>
      <c r="Q205" s="1">
        <f>N205+P205</f>
        <v>37048.35</v>
      </c>
      <c r="R205" s="41">
        <v>18857.02</v>
      </c>
      <c r="S205" s="1">
        <f>R205-Q205</f>
        <v>-18191.329999999998</v>
      </c>
      <c r="T205" s="1">
        <f>Q205+S205</f>
        <v>18857.02</v>
      </c>
      <c r="U205" s="41">
        <v>18857.02</v>
      </c>
      <c r="V205" s="1">
        <f>U205-T205</f>
        <v>0</v>
      </c>
      <c r="W205" s="1">
        <f>T205+V205</f>
        <v>18857.02</v>
      </c>
      <c r="X205" s="41">
        <v>21745.24</v>
      </c>
      <c r="Y205" s="41">
        <f t="shared" si="135"/>
        <v>2888.2200000000012</v>
      </c>
      <c r="Z205" s="1">
        <f t="shared" si="136"/>
        <v>21745.24</v>
      </c>
      <c r="AA205" s="41">
        <v>19845.66</v>
      </c>
      <c r="AB205" s="1">
        <f t="shared" si="137"/>
        <v>-1899.5800000000017</v>
      </c>
      <c r="AC205" s="1">
        <f t="shared" si="138"/>
        <v>19845.66</v>
      </c>
      <c r="AD205" s="41">
        <v>20144.5</v>
      </c>
      <c r="AE205" s="1">
        <f t="shared" si="139"/>
        <v>298.84000000000015</v>
      </c>
      <c r="AF205" s="1">
        <f t="shared" si="140"/>
        <v>20144.5</v>
      </c>
    </row>
    <row r="206" spans="1:32">
      <c r="A206" s="11">
        <v>34000</v>
      </c>
      <c r="B206" s="11">
        <v>13000</v>
      </c>
      <c r="C206" s="11" t="s">
        <v>436</v>
      </c>
      <c r="D206" s="7">
        <v>110565.33</v>
      </c>
      <c r="E206" s="7">
        <v>111894</v>
      </c>
      <c r="F206" s="7">
        <f>D206-E206</f>
        <v>-1328.6699999999983</v>
      </c>
      <c r="G206" s="7">
        <v>1328.67</v>
      </c>
      <c r="H206" s="7">
        <f>D206+G206</f>
        <v>111894</v>
      </c>
      <c r="I206" s="16">
        <v>120180.73</v>
      </c>
      <c r="J206" s="16">
        <f>H206-I206</f>
        <v>-8286.7299999999959</v>
      </c>
      <c r="K206" s="16">
        <v>8286.73</v>
      </c>
      <c r="L206" s="1">
        <f>H206+K206</f>
        <v>120180.73</v>
      </c>
      <c r="M206" s="7">
        <f>140766.28-L206</f>
        <v>20585.550000000003</v>
      </c>
      <c r="N206" s="1">
        <f>L206+M206</f>
        <v>140766.28</v>
      </c>
      <c r="O206" s="1">
        <v>132044.72</v>
      </c>
      <c r="P206" s="1">
        <f>O206-N206</f>
        <v>-8721.5599999999977</v>
      </c>
      <c r="Q206" s="1">
        <f>N206+P206</f>
        <v>132044.72</v>
      </c>
      <c r="R206" s="1">
        <v>106797.39</v>
      </c>
      <c r="S206" s="1">
        <f>R206-Q206</f>
        <v>-25247.33</v>
      </c>
      <c r="T206" s="1">
        <f>Q206+S206</f>
        <v>106797.39</v>
      </c>
      <c r="U206" s="1">
        <v>107989.27</v>
      </c>
      <c r="V206" s="1">
        <f>U206-T206</f>
        <v>1191.8800000000047</v>
      </c>
      <c r="W206" s="1">
        <f>T206+V206</f>
        <v>107989.27</v>
      </c>
      <c r="X206" s="1">
        <v>122347.47</v>
      </c>
      <c r="Y206" s="41">
        <f t="shared" si="135"/>
        <v>14358.199999999997</v>
      </c>
      <c r="Z206" s="1">
        <f t="shared" si="136"/>
        <v>122347.47</v>
      </c>
      <c r="AA206" s="1">
        <v>110706.57</v>
      </c>
      <c r="AB206" s="1">
        <f t="shared" si="137"/>
        <v>-11640.899999999994</v>
      </c>
      <c r="AC206" s="1">
        <f t="shared" si="138"/>
        <v>110706.57</v>
      </c>
      <c r="AD206" s="41">
        <v>105300.31</v>
      </c>
      <c r="AE206" s="1">
        <f t="shared" si="139"/>
        <v>-5406.2600000000093</v>
      </c>
      <c r="AF206" s="1">
        <f t="shared" si="140"/>
        <v>105300.31</v>
      </c>
    </row>
    <row r="207" spans="1:32">
      <c r="A207" s="13">
        <v>43210</v>
      </c>
      <c r="B207" s="11">
        <v>13000</v>
      </c>
      <c r="C207" s="42" t="s">
        <v>880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3"/>
      <c r="S207" s="8"/>
      <c r="T207" s="8"/>
      <c r="U207" s="8"/>
      <c r="V207" s="8"/>
      <c r="W207" s="8"/>
      <c r="X207" s="8"/>
      <c r="Y207" s="8"/>
      <c r="Z207" s="47">
        <v>0</v>
      </c>
      <c r="AA207" s="47">
        <v>14748.06</v>
      </c>
      <c r="AB207" s="41">
        <f t="shared" si="137"/>
        <v>14748.06</v>
      </c>
      <c r="AC207" s="1">
        <f t="shared" si="138"/>
        <v>14748.06</v>
      </c>
      <c r="AD207" s="41">
        <v>15380.18</v>
      </c>
      <c r="AE207" s="1">
        <f t="shared" si="139"/>
        <v>632.1200000000008</v>
      </c>
      <c r="AF207" s="1">
        <f t="shared" si="140"/>
        <v>15380.18</v>
      </c>
    </row>
    <row r="208" spans="1:32">
      <c r="A208" s="11">
        <v>45900</v>
      </c>
      <c r="B208" s="11">
        <v>13000</v>
      </c>
      <c r="C208" s="11" t="s">
        <v>187</v>
      </c>
      <c r="D208" s="7">
        <v>392092.43</v>
      </c>
      <c r="E208" s="7">
        <v>328107.43</v>
      </c>
      <c r="F208" s="7">
        <f t="shared" ref="F208:F213" si="141">D208-E208</f>
        <v>63985</v>
      </c>
      <c r="G208" s="7">
        <v>-63985</v>
      </c>
      <c r="H208" s="7">
        <f t="shared" ref="H208:H213" si="142">D208+G208</f>
        <v>328107.43</v>
      </c>
      <c r="I208" s="1">
        <v>215680.12</v>
      </c>
      <c r="J208" s="1">
        <f t="shared" ref="J208:J213" si="143">H208-I208</f>
        <v>112427.31</v>
      </c>
      <c r="K208" s="1">
        <v>-112427.31</v>
      </c>
      <c r="L208" s="1">
        <f>H208+K208</f>
        <v>215680.12</v>
      </c>
      <c r="M208" s="7">
        <f>150944.5-L208</f>
        <v>-64735.619999999995</v>
      </c>
      <c r="N208" s="1">
        <f t="shared" ref="N208:N213" si="144">L208+M208</f>
        <v>150944.5</v>
      </c>
      <c r="O208" s="1">
        <v>114894.28</v>
      </c>
      <c r="P208" s="1">
        <f t="shared" ref="P208:P213" si="145">O208-N208</f>
        <v>-36050.22</v>
      </c>
      <c r="Q208" s="1">
        <f t="shared" ref="Q208:Q213" si="146">N208+P208</f>
        <v>114894.28</v>
      </c>
      <c r="R208" s="41">
        <v>29574.16</v>
      </c>
      <c r="S208" s="1">
        <f t="shared" ref="S208:S216" si="147">R208-Q208</f>
        <v>-85320.12</v>
      </c>
      <c r="T208" s="1">
        <f t="shared" ref="T208:T216" si="148">Q208+S208</f>
        <v>29574.160000000003</v>
      </c>
      <c r="U208" s="1">
        <v>18312.560000000001</v>
      </c>
      <c r="V208" s="1">
        <f t="shared" ref="V208:V216" si="149">U208-T208</f>
        <v>-11261.600000000002</v>
      </c>
      <c r="W208" s="1">
        <f t="shared" ref="W208:W216" si="150">T208+V208</f>
        <v>18312.560000000001</v>
      </c>
      <c r="X208" s="1">
        <v>30689.98</v>
      </c>
      <c r="Y208" s="41">
        <f t="shared" ref="Y208:Y225" si="151">X208-W208</f>
        <v>12377.419999999998</v>
      </c>
      <c r="Z208" s="1">
        <f t="shared" ref="Z208:Z225" si="152">W208+Y208</f>
        <v>30689.98</v>
      </c>
      <c r="AA208" s="41">
        <v>11103.59</v>
      </c>
      <c r="AB208" s="41">
        <f t="shared" si="137"/>
        <v>-19586.39</v>
      </c>
      <c r="AC208" s="1">
        <f t="shared" si="138"/>
        <v>11103.59</v>
      </c>
      <c r="AD208" s="41">
        <v>11271.56</v>
      </c>
      <c r="AE208" s="1">
        <f t="shared" si="139"/>
        <v>167.96999999999935</v>
      </c>
      <c r="AF208" s="1">
        <f t="shared" si="140"/>
        <v>11271.56</v>
      </c>
    </row>
    <row r="209" spans="1:32">
      <c r="A209" s="11">
        <v>92000</v>
      </c>
      <c r="B209" s="11">
        <v>13000</v>
      </c>
      <c r="C209" s="11" t="s">
        <v>236</v>
      </c>
      <c r="D209" s="7">
        <v>175649.8</v>
      </c>
      <c r="E209" s="7">
        <v>136288.85</v>
      </c>
      <c r="F209" s="7">
        <f t="shared" si="141"/>
        <v>39360.949999999983</v>
      </c>
      <c r="G209" s="7">
        <v>-39360.949999999997</v>
      </c>
      <c r="H209" s="7">
        <f t="shared" si="142"/>
        <v>136288.84999999998</v>
      </c>
      <c r="I209" s="1">
        <v>94120.46</v>
      </c>
      <c r="J209" s="1">
        <f t="shared" si="143"/>
        <v>42168.38999999997</v>
      </c>
      <c r="K209" s="1">
        <v>-42168.39</v>
      </c>
      <c r="L209" s="1">
        <f>H209+K209</f>
        <v>94120.459999999977</v>
      </c>
      <c r="M209" s="7">
        <f>77878.48-L209</f>
        <v>-16241.979999999981</v>
      </c>
      <c r="N209" s="1">
        <f t="shared" si="144"/>
        <v>77878.48</v>
      </c>
      <c r="O209" s="1">
        <v>77784.19</v>
      </c>
      <c r="P209" s="1">
        <f t="shared" si="145"/>
        <v>-94.289999999993597</v>
      </c>
      <c r="Q209" s="1">
        <f t="shared" si="146"/>
        <v>77784.19</v>
      </c>
      <c r="R209" s="1">
        <v>44786.69</v>
      </c>
      <c r="S209" s="1">
        <f t="shared" si="147"/>
        <v>-32997.5</v>
      </c>
      <c r="T209" s="1">
        <f t="shared" si="148"/>
        <v>44786.69</v>
      </c>
      <c r="U209" s="1">
        <v>27312.44</v>
      </c>
      <c r="V209" s="1">
        <f t="shared" si="149"/>
        <v>-17474.250000000004</v>
      </c>
      <c r="W209" s="1">
        <f t="shared" si="150"/>
        <v>27312.44</v>
      </c>
      <c r="X209" s="1">
        <v>47749.78</v>
      </c>
      <c r="Y209" s="41">
        <f t="shared" si="151"/>
        <v>20437.34</v>
      </c>
      <c r="Z209" s="1">
        <f t="shared" si="152"/>
        <v>47749.78</v>
      </c>
      <c r="AA209" s="1">
        <v>33730.230000000003</v>
      </c>
      <c r="AB209" s="1">
        <f t="shared" si="137"/>
        <v>-14019.549999999996</v>
      </c>
      <c r="AC209" s="1">
        <f t="shared" si="138"/>
        <v>33730.230000000003</v>
      </c>
      <c r="AD209" s="41">
        <v>38301.230000000003</v>
      </c>
      <c r="AE209" s="1">
        <f t="shared" si="139"/>
        <v>4571</v>
      </c>
      <c r="AF209" s="1">
        <f t="shared" si="140"/>
        <v>38301.230000000003</v>
      </c>
    </row>
    <row r="210" spans="1:32">
      <c r="A210" s="11">
        <v>92600</v>
      </c>
      <c r="B210" s="11">
        <v>13000</v>
      </c>
      <c r="C210" s="11" t="s">
        <v>287</v>
      </c>
      <c r="D210" s="7">
        <v>12150.62</v>
      </c>
      <c r="E210" s="7">
        <v>12187.07</v>
      </c>
      <c r="F210" s="7">
        <f t="shared" si="141"/>
        <v>-36.449999999998909</v>
      </c>
      <c r="G210" s="7">
        <v>36.450000000000003</v>
      </c>
      <c r="H210" s="7">
        <f t="shared" si="142"/>
        <v>12187.070000000002</v>
      </c>
      <c r="I210" s="7">
        <v>11358.2</v>
      </c>
      <c r="J210" s="7">
        <f t="shared" si="143"/>
        <v>828.8700000000008</v>
      </c>
      <c r="K210" s="7">
        <v>-828.87</v>
      </c>
      <c r="L210" s="7">
        <v>11358.2</v>
      </c>
      <c r="M210" s="7">
        <v>0</v>
      </c>
      <c r="N210" s="7">
        <f t="shared" si="144"/>
        <v>11358.2</v>
      </c>
      <c r="O210" s="7">
        <v>11358.2</v>
      </c>
      <c r="P210" s="1">
        <f t="shared" si="145"/>
        <v>0</v>
      </c>
      <c r="Q210" s="1">
        <f t="shared" si="146"/>
        <v>11358.2</v>
      </c>
      <c r="R210" s="1">
        <v>11621.3</v>
      </c>
      <c r="S210" s="1">
        <f t="shared" si="147"/>
        <v>263.09999999999854</v>
      </c>
      <c r="T210" s="1">
        <f t="shared" si="148"/>
        <v>11621.3</v>
      </c>
      <c r="U210" s="1">
        <v>11726.54</v>
      </c>
      <c r="V210" s="1">
        <f t="shared" si="149"/>
        <v>105.2400000000016</v>
      </c>
      <c r="W210" s="1">
        <f t="shared" si="150"/>
        <v>11726.54</v>
      </c>
      <c r="X210" s="1">
        <v>12474.5</v>
      </c>
      <c r="Y210" s="41">
        <f t="shared" si="151"/>
        <v>747.95999999999913</v>
      </c>
      <c r="Z210" s="1">
        <f t="shared" si="152"/>
        <v>12474.5</v>
      </c>
      <c r="AA210" s="1">
        <v>12231.31</v>
      </c>
      <c r="AB210" s="1">
        <f t="shared" si="137"/>
        <v>-243.19000000000051</v>
      </c>
      <c r="AC210" s="1">
        <f t="shared" si="138"/>
        <v>12231.31</v>
      </c>
      <c r="AD210" s="41">
        <v>12524.24</v>
      </c>
      <c r="AE210" s="1">
        <f t="shared" si="139"/>
        <v>292.93000000000029</v>
      </c>
      <c r="AF210" s="1">
        <f t="shared" si="140"/>
        <v>12524.24</v>
      </c>
    </row>
    <row r="211" spans="1:32">
      <c r="A211" s="11">
        <v>93100</v>
      </c>
      <c r="B211" s="11">
        <v>13000</v>
      </c>
      <c r="C211" s="11" t="s">
        <v>496</v>
      </c>
      <c r="D211" s="7">
        <v>11656.08</v>
      </c>
      <c r="E211" s="7">
        <v>11691.05</v>
      </c>
      <c r="F211" s="7">
        <f t="shared" si="141"/>
        <v>-34.969999999999345</v>
      </c>
      <c r="G211" s="7">
        <v>34.97</v>
      </c>
      <c r="H211" s="7">
        <f t="shared" si="142"/>
        <v>11691.05</v>
      </c>
      <c r="I211" s="1">
        <v>10383.379999999999</v>
      </c>
      <c r="J211" s="1">
        <f t="shared" si="143"/>
        <v>1307.67</v>
      </c>
      <c r="K211" s="1">
        <v>-1307.67</v>
      </c>
      <c r="L211" s="1">
        <f>H211+K211</f>
        <v>10383.379999999999</v>
      </c>
      <c r="M211" s="7">
        <f>19012.56-L211</f>
        <v>8629.1800000000021</v>
      </c>
      <c r="N211" s="1">
        <f t="shared" si="144"/>
        <v>19012.560000000001</v>
      </c>
      <c r="O211" s="1">
        <v>19227.36</v>
      </c>
      <c r="P211" s="1">
        <f t="shared" si="145"/>
        <v>214.79999999999927</v>
      </c>
      <c r="Q211" s="1">
        <f t="shared" si="146"/>
        <v>19227.36</v>
      </c>
      <c r="R211" s="1">
        <v>19513.759999999998</v>
      </c>
      <c r="S211" s="1">
        <f t="shared" si="147"/>
        <v>286.39999999999782</v>
      </c>
      <c r="T211" s="1">
        <f t="shared" si="148"/>
        <v>19513.759999999998</v>
      </c>
      <c r="U211" s="1">
        <v>10633.98</v>
      </c>
      <c r="V211" s="1">
        <f t="shared" si="149"/>
        <v>-8879.7799999999988</v>
      </c>
      <c r="W211" s="1">
        <f t="shared" si="150"/>
        <v>10633.98</v>
      </c>
      <c r="X211" s="1">
        <v>23103.3</v>
      </c>
      <c r="Y211" s="41">
        <f t="shared" si="151"/>
        <v>12469.32</v>
      </c>
      <c r="Z211" s="1">
        <f t="shared" si="152"/>
        <v>23103.3</v>
      </c>
      <c r="AA211" s="1">
        <v>20417.62</v>
      </c>
      <c r="AB211" s="1">
        <f t="shared" si="137"/>
        <v>-2685.6800000000003</v>
      </c>
      <c r="AC211" s="1">
        <f t="shared" si="138"/>
        <v>20417.62</v>
      </c>
      <c r="AD211" s="41">
        <v>20725.8</v>
      </c>
      <c r="AE211" s="1">
        <f t="shared" si="139"/>
        <v>308.18000000000029</v>
      </c>
      <c r="AF211" s="1">
        <f t="shared" si="140"/>
        <v>20725.8</v>
      </c>
    </row>
    <row r="212" spans="1:32">
      <c r="A212" s="11">
        <v>45900</v>
      </c>
      <c r="B212" s="11">
        <v>13001</v>
      </c>
      <c r="C212" s="11" t="s">
        <v>188</v>
      </c>
      <c r="D212" s="7">
        <v>337544.37</v>
      </c>
      <c r="E212" s="7">
        <v>12000</v>
      </c>
      <c r="F212" s="7">
        <f t="shared" si="141"/>
        <v>325544.37</v>
      </c>
      <c r="G212" s="7">
        <v>-325544.37</v>
      </c>
      <c r="H212" s="7">
        <f t="shared" si="142"/>
        <v>12000</v>
      </c>
      <c r="I212" s="1">
        <v>12000</v>
      </c>
      <c r="J212" s="1">
        <f t="shared" si="143"/>
        <v>0</v>
      </c>
      <c r="K212" s="1">
        <v>0</v>
      </c>
      <c r="L212" s="1">
        <f>H212+K212</f>
        <v>12000</v>
      </c>
      <c r="M212" s="7">
        <v>2000</v>
      </c>
      <c r="N212" s="1">
        <f t="shared" si="144"/>
        <v>14000</v>
      </c>
      <c r="O212" s="1">
        <v>5000</v>
      </c>
      <c r="P212" s="1">
        <f t="shared" si="145"/>
        <v>-9000</v>
      </c>
      <c r="Q212" s="1">
        <f t="shared" si="146"/>
        <v>5000</v>
      </c>
      <c r="R212" s="41"/>
      <c r="S212" s="1">
        <f t="shared" si="147"/>
        <v>-5000</v>
      </c>
      <c r="T212" s="1">
        <f t="shared" si="148"/>
        <v>0</v>
      </c>
      <c r="U212" s="1">
        <v>0</v>
      </c>
      <c r="V212" s="1">
        <f t="shared" si="149"/>
        <v>0</v>
      </c>
      <c r="W212" s="1">
        <f t="shared" si="150"/>
        <v>0</v>
      </c>
      <c r="X212" s="1">
        <v>0</v>
      </c>
      <c r="Y212" s="41">
        <f t="shared" si="151"/>
        <v>0</v>
      </c>
      <c r="Z212" s="1">
        <f t="shared" si="152"/>
        <v>0</v>
      </c>
      <c r="AA212" s="41">
        <v>0</v>
      </c>
      <c r="AB212" s="41">
        <f t="shared" si="137"/>
        <v>0</v>
      </c>
      <c r="AC212" s="1">
        <f t="shared" si="138"/>
        <v>0</v>
      </c>
      <c r="AD212" s="41">
        <v>0</v>
      </c>
      <c r="AE212" s="1">
        <f t="shared" si="139"/>
        <v>0</v>
      </c>
      <c r="AF212" s="1">
        <f t="shared" si="140"/>
        <v>0</v>
      </c>
    </row>
    <row r="213" spans="1:32">
      <c r="A213" s="11">
        <v>13000</v>
      </c>
      <c r="B213" s="11">
        <v>13002</v>
      </c>
      <c r="C213" s="11" t="s">
        <v>264</v>
      </c>
      <c r="D213" s="7">
        <v>0</v>
      </c>
      <c r="E213" s="7">
        <v>36032.54</v>
      </c>
      <c r="F213" s="7">
        <f t="shared" si="141"/>
        <v>-36032.54</v>
      </c>
      <c r="G213" s="7">
        <v>36032.54</v>
      </c>
      <c r="H213" s="7">
        <f t="shared" si="142"/>
        <v>36032.54</v>
      </c>
      <c r="I213" s="1">
        <v>45020.29</v>
      </c>
      <c r="J213" s="1">
        <f t="shared" si="143"/>
        <v>-8987.75</v>
      </c>
      <c r="K213" s="1">
        <v>8987.75</v>
      </c>
      <c r="L213" s="1">
        <f>H213+K213</f>
        <v>45020.29</v>
      </c>
      <c r="M213" s="7">
        <f>10617.04-L213</f>
        <v>-34403.25</v>
      </c>
      <c r="N213" s="1">
        <f t="shared" si="144"/>
        <v>10617.04</v>
      </c>
      <c r="O213" s="1">
        <v>29854.86</v>
      </c>
      <c r="P213" s="1">
        <f t="shared" si="145"/>
        <v>19237.82</v>
      </c>
      <c r="Q213" s="1">
        <f t="shared" si="146"/>
        <v>29854.86</v>
      </c>
      <c r="S213" s="1">
        <f t="shared" si="147"/>
        <v>-29854.86</v>
      </c>
      <c r="T213" s="1">
        <f t="shared" si="148"/>
        <v>0</v>
      </c>
      <c r="U213" s="1">
        <f>R213+T213</f>
        <v>0</v>
      </c>
      <c r="V213" s="1">
        <f t="shared" si="149"/>
        <v>0</v>
      </c>
      <c r="W213" s="1">
        <f t="shared" si="150"/>
        <v>0</v>
      </c>
      <c r="X213" s="1">
        <v>0</v>
      </c>
      <c r="Y213" s="41">
        <f t="shared" si="151"/>
        <v>0</v>
      </c>
      <c r="Z213" s="1">
        <f t="shared" si="152"/>
        <v>0</v>
      </c>
      <c r="AA213" s="1">
        <v>0</v>
      </c>
      <c r="AB213" s="1">
        <f t="shared" si="137"/>
        <v>0</v>
      </c>
      <c r="AC213" s="1">
        <f t="shared" si="138"/>
        <v>0</v>
      </c>
      <c r="AD213" s="41">
        <v>0</v>
      </c>
      <c r="AE213" s="1">
        <f t="shared" si="139"/>
        <v>0</v>
      </c>
      <c r="AF213" s="1">
        <f t="shared" si="140"/>
        <v>0</v>
      </c>
    </row>
    <row r="214" spans="1:32">
      <c r="A214" s="11">
        <v>13300</v>
      </c>
      <c r="B214" s="11">
        <v>13002</v>
      </c>
      <c r="C214" s="11" t="s">
        <v>697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47">
        <v>0</v>
      </c>
      <c r="R214" s="41">
        <v>10141.040000000001</v>
      </c>
      <c r="S214" s="1">
        <f t="shared" si="147"/>
        <v>10141.040000000001</v>
      </c>
      <c r="T214" s="1">
        <f t="shared" si="148"/>
        <v>10141.040000000001</v>
      </c>
      <c r="U214" s="1">
        <v>10141.040000000001</v>
      </c>
      <c r="V214" s="1">
        <f t="shared" si="149"/>
        <v>0</v>
      </c>
      <c r="W214" s="1">
        <f t="shared" si="150"/>
        <v>10141.040000000001</v>
      </c>
      <c r="X214" s="41">
        <v>19781.759999999998</v>
      </c>
      <c r="Y214" s="41">
        <f t="shared" si="151"/>
        <v>9640.7199999999975</v>
      </c>
      <c r="Z214" s="1">
        <f t="shared" si="152"/>
        <v>19781.759999999998</v>
      </c>
      <c r="AA214" s="41">
        <v>0</v>
      </c>
      <c r="AB214" s="41">
        <f t="shared" si="137"/>
        <v>-19781.759999999998</v>
      </c>
      <c r="AC214" s="1">
        <f t="shared" si="138"/>
        <v>0</v>
      </c>
      <c r="AD214" s="41">
        <v>0</v>
      </c>
      <c r="AE214" s="1">
        <f t="shared" si="139"/>
        <v>0</v>
      </c>
      <c r="AF214" s="1">
        <f t="shared" si="140"/>
        <v>0</v>
      </c>
    </row>
    <row r="215" spans="1:32">
      <c r="A215" s="11">
        <v>15100</v>
      </c>
      <c r="B215" s="11">
        <v>13002</v>
      </c>
      <c r="C215" s="11" t="s">
        <v>95</v>
      </c>
      <c r="D215" s="7">
        <v>0</v>
      </c>
      <c r="E215" s="7">
        <v>0</v>
      </c>
      <c r="F215" s="7">
        <f>D215-E215</f>
        <v>0</v>
      </c>
      <c r="G215" s="7">
        <v>0</v>
      </c>
      <c r="H215" s="7">
        <f>D215+G215</f>
        <v>0</v>
      </c>
      <c r="I215" s="1">
        <v>35012.46</v>
      </c>
      <c r="J215" s="1">
        <f>H215-I215</f>
        <v>-35012.46</v>
      </c>
      <c r="K215" s="1">
        <v>35012.46</v>
      </c>
      <c r="L215" s="1">
        <f>H215+K215</f>
        <v>35012.46</v>
      </c>
      <c r="M215" s="7">
        <f>0</f>
        <v>0</v>
      </c>
      <c r="N215" s="1">
        <f>L215+M215</f>
        <v>35012.46</v>
      </c>
      <c r="O215" s="1">
        <v>33968.199999999997</v>
      </c>
      <c r="P215" s="1">
        <f>O215-N215</f>
        <v>-1044.260000000002</v>
      </c>
      <c r="Q215" s="1">
        <f>N215+P215</f>
        <v>33968.199999999997</v>
      </c>
      <c r="R215" s="1">
        <v>24871.42</v>
      </c>
      <c r="S215" s="1">
        <f t="shared" si="147"/>
        <v>-9096.7799999999988</v>
      </c>
      <c r="T215" s="1">
        <f t="shared" si="148"/>
        <v>24871.42</v>
      </c>
      <c r="U215" s="1">
        <v>24871.42</v>
      </c>
      <c r="V215" s="1">
        <f t="shared" si="149"/>
        <v>0</v>
      </c>
      <c r="W215" s="1">
        <f t="shared" si="150"/>
        <v>24871.42</v>
      </c>
      <c r="X215" s="1">
        <v>35362.58</v>
      </c>
      <c r="Y215" s="41">
        <f t="shared" si="151"/>
        <v>10491.160000000003</v>
      </c>
      <c r="Z215" s="1">
        <f t="shared" si="152"/>
        <v>35362.58</v>
      </c>
      <c r="AA215" s="1">
        <v>19624.62</v>
      </c>
      <c r="AB215" s="1">
        <f t="shared" si="137"/>
        <v>-15737.960000000003</v>
      </c>
      <c r="AC215" s="1">
        <f t="shared" si="138"/>
        <v>19624.62</v>
      </c>
      <c r="AD215" s="41">
        <v>9418.9599999999991</v>
      </c>
      <c r="AE215" s="1">
        <f t="shared" si="139"/>
        <v>-10205.66</v>
      </c>
      <c r="AF215" s="1">
        <f t="shared" si="140"/>
        <v>9418.9599999999991</v>
      </c>
    </row>
    <row r="216" spans="1:32">
      <c r="A216" s="13">
        <v>16400</v>
      </c>
      <c r="B216" s="11">
        <v>13002</v>
      </c>
      <c r="C216" s="11" t="s">
        <v>411</v>
      </c>
      <c r="D216" s="7">
        <v>0</v>
      </c>
      <c r="E216" s="7">
        <v>27129.94</v>
      </c>
      <c r="F216" s="7">
        <f>D216-E216</f>
        <v>-27129.94</v>
      </c>
      <c r="G216" s="7">
        <v>27129.94</v>
      </c>
      <c r="H216" s="7">
        <f>D216+G216</f>
        <v>27129.94</v>
      </c>
      <c r="I216" s="1">
        <v>31887.66</v>
      </c>
      <c r="J216" s="1">
        <f>H216-I216</f>
        <v>-4757.7200000000012</v>
      </c>
      <c r="K216" s="16">
        <v>4757.72</v>
      </c>
      <c r="L216" s="21">
        <f>H216+K216</f>
        <v>31887.66</v>
      </c>
      <c r="M216" s="7">
        <f>31373.02-L216</f>
        <v>-514.63999999999942</v>
      </c>
      <c r="N216" s="1">
        <f>L216+M216</f>
        <v>31373.02</v>
      </c>
      <c r="O216" s="1">
        <v>31373.02</v>
      </c>
      <c r="P216" s="1">
        <f>O216-N216</f>
        <v>0</v>
      </c>
      <c r="Q216" s="1">
        <f>N216+P216</f>
        <v>31373.02</v>
      </c>
      <c r="R216" s="41">
        <v>19980.52</v>
      </c>
      <c r="S216" s="1">
        <f t="shared" si="147"/>
        <v>-11392.5</v>
      </c>
      <c r="T216" s="1">
        <f t="shared" si="148"/>
        <v>19980.52</v>
      </c>
      <c r="U216" s="41">
        <v>10883.74</v>
      </c>
      <c r="V216" s="1">
        <f t="shared" si="149"/>
        <v>-9096.7800000000007</v>
      </c>
      <c r="W216" s="1">
        <f t="shared" si="150"/>
        <v>10883.74</v>
      </c>
      <c r="X216" s="1">
        <v>10992.58</v>
      </c>
      <c r="Y216" s="41">
        <f t="shared" si="151"/>
        <v>108.84000000000015</v>
      </c>
      <c r="Z216" s="1">
        <f t="shared" si="152"/>
        <v>10992.58</v>
      </c>
      <c r="AA216" s="41">
        <v>11102.59</v>
      </c>
      <c r="AB216" s="1">
        <f t="shared" ref="AB216:AB247" si="153">AA216-Z216</f>
        <v>110.01000000000022</v>
      </c>
      <c r="AC216" s="1">
        <f t="shared" ref="AC216:AC247" si="154">Z216+AB216</f>
        <v>11102.59</v>
      </c>
      <c r="AD216" s="41">
        <v>11269.1</v>
      </c>
      <c r="AE216" s="1">
        <f t="shared" si="139"/>
        <v>166.51000000000022</v>
      </c>
      <c r="AF216" s="1">
        <f t="shared" si="140"/>
        <v>11269.1</v>
      </c>
    </row>
    <row r="217" spans="1:32">
      <c r="A217" s="11">
        <v>17000</v>
      </c>
      <c r="B217" s="11">
        <v>13002</v>
      </c>
      <c r="C217" s="42" t="s">
        <v>796</v>
      </c>
      <c r="D217" s="7"/>
      <c r="E217" s="7"/>
      <c r="F217" s="7"/>
      <c r="G217" s="7"/>
      <c r="H217" s="7"/>
      <c r="I217" s="16"/>
      <c r="J217" s="1"/>
      <c r="K217" s="16"/>
      <c r="L217" s="1"/>
      <c r="N217" s="1"/>
      <c r="O217" s="1"/>
      <c r="R217" s="41"/>
      <c r="T217" s="1"/>
      <c r="V217" s="1"/>
      <c r="W217" s="1">
        <v>0</v>
      </c>
      <c r="X217" s="1">
        <v>0</v>
      </c>
      <c r="Y217" s="41">
        <f t="shared" si="151"/>
        <v>0</v>
      </c>
      <c r="Z217" s="1">
        <f t="shared" si="152"/>
        <v>0</v>
      </c>
      <c r="AA217" s="41">
        <v>16091.74</v>
      </c>
      <c r="AB217" s="1">
        <f t="shared" si="153"/>
        <v>16091.74</v>
      </c>
      <c r="AC217" s="1">
        <f t="shared" si="154"/>
        <v>16091.74</v>
      </c>
      <c r="AD217" s="41">
        <v>26833.32</v>
      </c>
      <c r="AE217" s="1">
        <f t="shared" si="139"/>
        <v>10741.58</v>
      </c>
      <c r="AF217" s="1">
        <f t="shared" si="140"/>
        <v>26833.32</v>
      </c>
    </row>
    <row r="218" spans="1:32">
      <c r="A218" s="13">
        <v>17100</v>
      </c>
      <c r="B218" s="11">
        <v>13002</v>
      </c>
      <c r="C218" s="11" t="s">
        <v>105</v>
      </c>
      <c r="D218" s="7">
        <v>0</v>
      </c>
      <c r="E218" s="7">
        <v>127077.07</v>
      </c>
      <c r="F218" s="7">
        <f>D218-E218</f>
        <v>-127077.07</v>
      </c>
      <c r="G218" s="7">
        <v>127077.07</v>
      </c>
      <c r="H218" s="7">
        <f>D218+G218</f>
        <v>127077.07</v>
      </c>
      <c r="I218" s="16">
        <v>185294.76</v>
      </c>
      <c r="J218" s="16">
        <f>H218-I218</f>
        <v>-58217.69</v>
      </c>
      <c r="K218" s="16">
        <v>58217.69</v>
      </c>
      <c r="L218" s="16">
        <f>H218+K218</f>
        <v>185294.76</v>
      </c>
      <c r="M218" s="7">
        <f>145774.86-L218</f>
        <v>-39519.900000000023</v>
      </c>
      <c r="N218" s="1">
        <f>L218+M218</f>
        <v>145774.85999999999</v>
      </c>
      <c r="O218" s="1">
        <v>155915.9</v>
      </c>
      <c r="P218" s="1">
        <f>O218-N218</f>
        <v>10141.040000000008</v>
      </c>
      <c r="Q218" s="1">
        <f>N218+P218</f>
        <v>155915.9</v>
      </c>
      <c r="R218" s="41">
        <v>73000.62</v>
      </c>
      <c r="S218" s="1">
        <f>R218-Q218</f>
        <v>-82915.28</v>
      </c>
      <c r="T218" s="1">
        <f>Q218+S218</f>
        <v>73000.62</v>
      </c>
      <c r="U218" s="1">
        <v>62859.58</v>
      </c>
      <c r="V218" s="1">
        <f>U218-T218</f>
        <v>-10141.039999999994</v>
      </c>
      <c r="W218" s="1">
        <f>T218+V218</f>
        <v>62859.58</v>
      </c>
      <c r="X218" s="1">
        <v>63488.160000000003</v>
      </c>
      <c r="Y218" s="41">
        <f t="shared" si="151"/>
        <v>628.58000000000175</v>
      </c>
      <c r="Z218" s="1">
        <f t="shared" si="152"/>
        <v>63488.160000000003</v>
      </c>
      <c r="AA218" s="41">
        <v>64123.47</v>
      </c>
      <c r="AB218" s="1">
        <f t="shared" si="153"/>
        <v>635.30999999999767</v>
      </c>
      <c r="AC218" s="1">
        <f t="shared" si="154"/>
        <v>64123.47</v>
      </c>
      <c r="AD218" s="41">
        <v>65085.65</v>
      </c>
      <c r="AE218" s="1">
        <f t="shared" si="139"/>
        <v>962.18000000000029</v>
      </c>
      <c r="AF218" s="1">
        <f t="shared" si="140"/>
        <v>65085.65</v>
      </c>
    </row>
    <row r="219" spans="1:32">
      <c r="A219" s="13">
        <v>23110</v>
      </c>
      <c r="B219" s="11">
        <v>13002</v>
      </c>
      <c r="C219" s="11" t="s">
        <v>318</v>
      </c>
      <c r="D219" s="8"/>
      <c r="E219" s="8"/>
      <c r="F219" s="8"/>
      <c r="G219" s="8"/>
      <c r="H219" s="8"/>
      <c r="I219" s="8"/>
      <c r="J219" s="8"/>
      <c r="K219" s="8"/>
      <c r="L219" s="10">
        <v>38674.53</v>
      </c>
      <c r="M219" s="10">
        <f>39343.92-L219</f>
        <v>669.38999999999942</v>
      </c>
      <c r="N219" s="7">
        <f>L219+M219</f>
        <v>39343.919999999998</v>
      </c>
      <c r="O219" s="7">
        <v>39343.919999999998</v>
      </c>
      <c r="P219" s="1">
        <f>O219-N219</f>
        <v>0</v>
      </c>
      <c r="Q219" s="1">
        <f>N219+P219</f>
        <v>39343.919999999998</v>
      </c>
      <c r="R219" s="41">
        <v>21879.9</v>
      </c>
      <c r="S219" s="1">
        <f>R219-Q219</f>
        <v>-17464.019999999997</v>
      </c>
      <c r="T219" s="1">
        <f>Q219+S219</f>
        <v>21879.9</v>
      </c>
      <c r="U219" s="41">
        <v>11738.86</v>
      </c>
      <c r="V219" s="1">
        <f>U219-T219</f>
        <v>-10141.040000000001</v>
      </c>
      <c r="W219" s="1">
        <f>T219+V219</f>
        <v>11738.86</v>
      </c>
      <c r="X219" s="41">
        <v>11856.25</v>
      </c>
      <c r="Y219" s="41">
        <f t="shared" si="151"/>
        <v>117.38999999999942</v>
      </c>
      <c r="Z219" s="1">
        <f t="shared" si="152"/>
        <v>11856.25</v>
      </c>
      <c r="AA219" s="41">
        <v>11974.88</v>
      </c>
      <c r="AB219" s="41">
        <f t="shared" si="153"/>
        <v>118.6299999999992</v>
      </c>
      <c r="AC219" s="1">
        <f t="shared" si="154"/>
        <v>11974.88</v>
      </c>
      <c r="AD219" s="41">
        <v>12154.53</v>
      </c>
      <c r="AE219" s="1">
        <f t="shared" si="139"/>
        <v>179.65000000000146</v>
      </c>
      <c r="AF219" s="1">
        <f t="shared" si="140"/>
        <v>12154.53</v>
      </c>
    </row>
    <row r="220" spans="1:32">
      <c r="A220" s="13">
        <v>23111</v>
      </c>
      <c r="B220" s="11">
        <v>13002</v>
      </c>
      <c r="C220" s="42" t="s">
        <v>802</v>
      </c>
      <c r="D220" s="7"/>
      <c r="E220" s="7"/>
      <c r="F220" s="7"/>
      <c r="G220" s="7"/>
      <c r="H220" s="7"/>
      <c r="I220" s="10"/>
      <c r="J220" s="10"/>
      <c r="K220" s="10"/>
      <c r="L220" s="7"/>
      <c r="M220" s="10"/>
      <c r="N220" s="7"/>
      <c r="O220" s="7"/>
      <c r="R220" s="41"/>
      <c r="T220" s="1"/>
      <c r="V220" s="1"/>
      <c r="W220" s="1">
        <v>0</v>
      </c>
      <c r="X220" s="1">
        <v>0</v>
      </c>
      <c r="Y220" s="41">
        <f t="shared" si="151"/>
        <v>0</v>
      </c>
      <c r="Z220" s="1">
        <f t="shared" si="152"/>
        <v>0</v>
      </c>
      <c r="AA220" s="41">
        <v>0</v>
      </c>
      <c r="AB220" s="41">
        <f t="shared" si="153"/>
        <v>0</v>
      </c>
      <c r="AC220" s="1">
        <f t="shared" si="154"/>
        <v>0</v>
      </c>
      <c r="AD220" s="41">
        <v>0</v>
      </c>
      <c r="AE220" s="1">
        <f t="shared" si="139"/>
        <v>0</v>
      </c>
      <c r="AF220" s="1">
        <f t="shared" si="140"/>
        <v>0</v>
      </c>
    </row>
    <row r="221" spans="1:32">
      <c r="A221" s="42">
        <v>23113</v>
      </c>
      <c r="B221" s="11">
        <v>13002</v>
      </c>
      <c r="C221" s="11" t="s">
        <v>117</v>
      </c>
      <c r="D221" s="7">
        <v>0</v>
      </c>
      <c r="E221" s="7">
        <v>411178.51</v>
      </c>
      <c r="F221" s="7">
        <f>D221-E221</f>
        <v>-411178.51</v>
      </c>
      <c r="G221" s="7">
        <v>411178.51</v>
      </c>
      <c r="H221" s="7">
        <f>D221+G221</f>
        <v>411178.51</v>
      </c>
      <c r="I221" s="7">
        <v>454799.38</v>
      </c>
      <c r="J221" s="7">
        <f>H221-I221</f>
        <v>-43620.869999999995</v>
      </c>
      <c r="K221" s="7">
        <v>43620.87</v>
      </c>
      <c r="L221" s="7">
        <v>454799.38</v>
      </c>
      <c r="M221" s="7">
        <f>397356.4-L221</f>
        <v>-57442.979999999981</v>
      </c>
      <c r="N221" s="7">
        <f>L221+M221</f>
        <v>397356.4</v>
      </c>
      <c r="O221" s="7">
        <v>376101.46</v>
      </c>
      <c r="P221" s="1">
        <f>O221-N221</f>
        <v>-21254.940000000002</v>
      </c>
      <c r="Q221" s="1">
        <f>N221+P221</f>
        <v>376101.46</v>
      </c>
      <c r="R221" s="41">
        <v>287166.74</v>
      </c>
      <c r="S221" s="1">
        <f>R221-Q221</f>
        <v>-88934.72000000003</v>
      </c>
      <c r="T221" s="1">
        <f>Q221+S221</f>
        <v>287166.74</v>
      </c>
      <c r="U221" s="41">
        <v>230561.52</v>
      </c>
      <c r="V221" s="1">
        <f>U221-T221</f>
        <v>-56605.22</v>
      </c>
      <c r="W221" s="1">
        <f>T221+V221</f>
        <v>230561.52</v>
      </c>
      <c r="X221" s="41">
        <v>184434.43</v>
      </c>
      <c r="Y221" s="41">
        <f t="shared" si="151"/>
        <v>-46127.09</v>
      </c>
      <c r="Z221" s="1">
        <f t="shared" si="152"/>
        <v>184434.43</v>
      </c>
      <c r="AA221" s="41">
        <v>182228.41</v>
      </c>
      <c r="AB221" s="41">
        <f t="shared" si="153"/>
        <v>-2206.0199999999895</v>
      </c>
      <c r="AC221" s="1">
        <f t="shared" si="154"/>
        <v>182228.41</v>
      </c>
      <c r="AD221" s="41">
        <v>166739.96</v>
      </c>
      <c r="AE221" s="1">
        <f t="shared" si="139"/>
        <v>-15488.450000000012</v>
      </c>
      <c r="AF221" s="1">
        <f t="shared" si="140"/>
        <v>166739.96</v>
      </c>
    </row>
    <row r="222" spans="1:32">
      <c r="A222" s="11">
        <v>32000</v>
      </c>
      <c r="B222" s="11">
        <v>13002</v>
      </c>
      <c r="C222" s="11" t="s">
        <v>120</v>
      </c>
      <c r="D222" s="7">
        <v>0</v>
      </c>
      <c r="E222" s="7">
        <v>67546.83</v>
      </c>
      <c r="F222" s="7">
        <f>D222-E222</f>
        <v>-67546.83</v>
      </c>
      <c r="G222" s="7">
        <v>67546.83</v>
      </c>
      <c r="H222" s="7">
        <f>D222+G222</f>
        <v>67546.83</v>
      </c>
      <c r="I222" s="1">
        <v>86139.520000000004</v>
      </c>
      <c r="J222" s="1">
        <f>H222-I222</f>
        <v>-18592.690000000002</v>
      </c>
      <c r="K222" s="1">
        <v>18592.689999999999</v>
      </c>
      <c r="L222" s="1">
        <f>H222+K222</f>
        <v>86139.520000000004</v>
      </c>
      <c r="M222" s="7">
        <f>93545.76-L222</f>
        <v>7406.2399999999907</v>
      </c>
      <c r="N222" s="1">
        <f>L222+M222</f>
        <v>93545.76</v>
      </c>
      <c r="O222" s="1">
        <v>74438.14</v>
      </c>
      <c r="P222" s="1">
        <f>O222-N222</f>
        <v>-19107.619999999995</v>
      </c>
      <c r="Q222" s="1">
        <f>N222+P222</f>
        <v>74438.14</v>
      </c>
      <c r="R222" s="41">
        <v>54182.8</v>
      </c>
      <c r="S222" s="1">
        <f>R222-Q222</f>
        <v>-20255.339999999997</v>
      </c>
      <c r="T222" s="1">
        <f>Q222+S222</f>
        <v>54182.8</v>
      </c>
      <c r="U222" s="41">
        <v>56408.800000000003</v>
      </c>
      <c r="V222" s="1">
        <f>U222-T222</f>
        <v>2226</v>
      </c>
      <c r="W222" s="1">
        <f>T222+V222</f>
        <v>56408.800000000003</v>
      </c>
      <c r="X222" s="41">
        <v>46757.440000000002</v>
      </c>
      <c r="Y222" s="41">
        <f t="shared" si="151"/>
        <v>-9651.36</v>
      </c>
      <c r="Z222" s="1">
        <f t="shared" si="152"/>
        <v>46757.440000000002</v>
      </c>
      <c r="AA222" s="41">
        <v>47744.56</v>
      </c>
      <c r="AB222" s="41">
        <f t="shared" si="153"/>
        <v>987.11999999999534</v>
      </c>
      <c r="AC222" s="1">
        <f t="shared" si="154"/>
        <v>47744.56</v>
      </c>
      <c r="AD222" s="41">
        <v>29757.89</v>
      </c>
      <c r="AE222" s="1">
        <f t="shared" si="139"/>
        <v>-17986.669999999998</v>
      </c>
      <c r="AF222" s="1">
        <f t="shared" si="140"/>
        <v>29757.89</v>
      </c>
    </row>
    <row r="223" spans="1:32">
      <c r="A223" s="11">
        <v>33400</v>
      </c>
      <c r="B223" s="11">
        <v>13002</v>
      </c>
      <c r="C223" s="11" t="s">
        <v>127</v>
      </c>
      <c r="D223" s="7">
        <v>0</v>
      </c>
      <c r="E223" s="7">
        <v>33208.639999999999</v>
      </c>
      <c r="F223" s="7">
        <f>D223-E223</f>
        <v>-33208.639999999999</v>
      </c>
      <c r="G223" s="7">
        <v>33208.639999999999</v>
      </c>
      <c r="H223" s="7">
        <f>D223+G223</f>
        <v>33208.639999999999</v>
      </c>
      <c r="I223" s="1">
        <v>27799.1</v>
      </c>
      <c r="J223" s="1">
        <f>H223-I223</f>
        <v>5409.5400000000009</v>
      </c>
      <c r="K223" s="1">
        <v>-5409.54</v>
      </c>
      <c r="L223" s="1">
        <f>H223+K223</f>
        <v>27799.1</v>
      </c>
      <c r="M223" s="7">
        <v>0</v>
      </c>
      <c r="N223" s="1">
        <f>L223+M223</f>
        <v>27799.1</v>
      </c>
      <c r="O223" s="1">
        <v>27799.1</v>
      </c>
      <c r="P223" s="1">
        <f>O223-N223</f>
        <v>0</v>
      </c>
      <c r="Q223" s="1">
        <f>N223+P223</f>
        <v>27799.1</v>
      </c>
      <c r="R223" s="1">
        <v>18702.32</v>
      </c>
      <c r="S223" s="1">
        <f>R223-Q223</f>
        <v>-9096.7799999999988</v>
      </c>
      <c r="T223" s="1">
        <f>Q223+S223</f>
        <v>18702.32</v>
      </c>
      <c r="U223" s="1">
        <v>9605.5400000000009</v>
      </c>
      <c r="V223" s="1">
        <f>U223-T223</f>
        <v>-9096.7799999999988</v>
      </c>
      <c r="W223" s="1">
        <f>T223+V223</f>
        <v>9605.5400000000009</v>
      </c>
      <c r="X223" s="1">
        <v>9701.59</v>
      </c>
      <c r="Y223" s="41">
        <f t="shared" si="151"/>
        <v>96.049999999999272</v>
      </c>
      <c r="Z223" s="1">
        <f t="shared" si="152"/>
        <v>9701.59</v>
      </c>
      <c r="AA223" s="1">
        <v>0</v>
      </c>
      <c r="AB223" s="1">
        <f t="shared" si="153"/>
        <v>-9701.59</v>
      </c>
      <c r="AC223" s="1">
        <f t="shared" si="154"/>
        <v>0</v>
      </c>
      <c r="AD223" s="41">
        <v>0</v>
      </c>
      <c r="AE223" s="1">
        <f t="shared" si="139"/>
        <v>0</v>
      </c>
      <c r="AF223" s="1">
        <f t="shared" si="140"/>
        <v>0</v>
      </c>
    </row>
    <row r="224" spans="1:32">
      <c r="A224" s="11">
        <v>33600</v>
      </c>
      <c r="B224" s="11">
        <v>13002</v>
      </c>
      <c r="C224" s="11" t="s">
        <v>133</v>
      </c>
      <c r="D224" s="7">
        <v>0</v>
      </c>
      <c r="E224" s="7">
        <v>11490.58</v>
      </c>
      <c r="F224" s="7">
        <f>D224-E224</f>
        <v>-11490.58</v>
      </c>
      <c r="G224" s="7">
        <v>11490.58</v>
      </c>
      <c r="H224" s="7">
        <f>D224+G224</f>
        <v>11490.58</v>
      </c>
      <c r="I224" s="1">
        <v>28419.3</v>
      </c>
      <c r="J224" s="1">
        <f>H224-I224</f>
        <v>-16928.72</v>
      </c>
      <c r="K224" s="1">
        <v>16928.72</v>
      </c>
      <c r="L224" s="1">
        <f>H224+K224</f>
        <v>28419.300000000003</v>
      </c>
      <c r="M224" s="7">
        <f>37516.08-L224</f>
        <v>9096.7799999999988</v>
      </c>
      <c r="N224" s="1">
        <f>L224+M224</f>
        <v>37516.080000000002</v>
      </c>
      <c r="O224" s="1">
        <v>37516.080000000002</v>
      </c>
      <c r="P224" s="1">
        <f>O224-N224</f>
        <v>0</v>
      </c>
      <c r="Q224" s="1">
        <f>N224+P224</f>
        <v>37516.080000000002</v>
      </c>
      <c r="R224" s="41">
        <v>18278.259999999998</v>
      </c>
      <c r="S224" s="1">
        <f>R224-Q224</f>
        <v>-19237.820000000003</v>
      </c>
      <c r="T224" s="1">
        <f>Q224+S224</f>
        <v>18278.259999999998</v>
      </c>
      <c r="U224" s="1">
        <v>18278.259999999998</v>
      </c>
      <c r="V224" s="1">
        <f>U224-T224</f>
        <v>0</v>
      </c>
      <c r="W224" s="1">
        <f>T224+V224</f>
        <v>18278.259999999998</v>
      </c>
      <c r="X224" s="1">
        <v>18461.04</v>
      </c>
      <c r="Y224" s="41">
        <f t="shared" si="151"/>
        <v>182.78000000000247</v>
      </c>
      <c r="Z224" s="1">
        <f t="shared" si="152"/>
        <v>18461.04</v>
      </c>
      <c r="AA224" s="1">
        <v>18645.71</v>
      </c>
      <c r="AB224" s="1">
        <f t="shared" si="153"/>
        <v>184.66999999999825</v>
      </c>
      <c r="AC224" s="1">
        <f t="shared" si="154"/>
        <v>18645.71</v>
      </c>
      <c r="AD224" s="41">
        <v>18925.439999999999</v>
      </c>
      <c r="AE224" s="1">
        <f t="shared" si="139"/>
        <v>279.72999999999956</v>
      </c>
      <c r="AF224" s="1">
        <f t="shared" si="140"/>
        <v>18925.439999999999</v>
      </c>
    </row>
    <row r="225" spans="1:32">
      <c r="A225" s="11">
        <v>34000</v>
      </c>
      <c r="B225" s="11">
        <v>13002</v>
      </c>
      <c r="C225" s="11" t="s">
        <v>160</v>
      </c>
      <c r="D225" s="7">
        <v>0</v>
      </c>
      <c r="E225" s="7">
        <v>94486.53</v>
      </c>
      <c r="F225" s="7">
        <f>D225-E225</f>
        <v>-94486.53</v>
      </c>
      <c r="G225" s="7">
        <v>94486.53</v>
      </c>
      <c r="H225" s="7">
        <f>D225+G225</f>
        <v>94486.53</v>
      </c>
      <c r="I225" s="16">
        <v>136088.82</v>
      </c>
      <c r="J225" s="16">
        <f>H225-I225</f>
        <v>-41602.290000000008</v>
      </c>
      <c r="K225" s="16">
        <v>41602.29</v>
      </c>
      <c r="L225" s="1">
        <f>H225+K225</f>
        <v>136088.82</v>
      </c>
      <c r="M225" s="7">
        <f>167516.86-L225</f>
        <v>31428.039999999979</v>
      </c>
      <c r="N225" s="1">
        <f>L225+M225</f>
        <v>167516.85999999999</v>
      </c>
      <c r="O225" s="1">
        <v>158014.78</v>
      </c>
      <c r="P225" s="1">
        <f>O225-N225</f>
        <v>-9502.0799999999872</v>
      </c>
      <c r="Q225" s="1">
        <f>N225+P225</f>
        <v>158014.78</v>
      </c>
      <c r="R225" s="1">
        <v>124204.08</v>
      </c>
      <c r="S225" s="1">
        <f>R225-Q225</f>
        <v>-33810.699999999997</v>
      </c>
      <c r="T225" s="1">
        <f>Q225+S225</f>
        <v>124204.08</v>
      </c>
      <c r="U225" s="1">
        <v>124204.08</v>
      </c>
      <c r="V225" s="1">
        <f>U225-T225</f>
        <v>0</v>
      </c>
      <c r="W225" s="1">
        <f>T225+V225</f>
        <v>124204.08</v>
      </c>
      <c r="X225" s="1">
        <v>125446.08</v>
      </c>
      <c r="Y225" s="41">
        <f t="shared" si="151"/>
        <v>1242</v>
      </c>
      <c r="Z225" s="1">
        <f t="shared" si="152"/>
        <v>125446.08</v>
      </c>
      <c r="AA225" s="1">
        <v>126182.57</v>
      </c>
      <c r="AB225" s="1">
        <f t="shared" si="153"/>
        <v>736.49000000000524</v>
      </c>
      <c r="AC225" s="1">
        <f t="shared" si="154"/>
        <v>126182.57</v>
      </c>
      <c r="AD225" s="41">
        <v>118656.47</v>
      </c>
      <c r="AE225" s="1">
        <f t="shared" si="139"/>
        <v>-7526.1000000000058</v>
      </c>
      <c r="AF225" s="1">
        <f t="shared" si="140"/>
        <v>118656.47</v>
      </c>
    </row>
    <row r="226" spans="1:32">
      <c r="A226" s="13">
        <v>43210</v>
      </c>
      <c r="B226" s="11">
        <v>13002</v>
      </c>
      <c r="C226" s="42" t="s">
        <v>881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3"/>
      <c r="S226" s="8"/>
      <c r="T226" s="8"/>
      <c r="U226" s="8"/>
      <c r="V226" s="8"/>
      <c r="W226" s="8"/>
      <c r="X226" s="8"/>
      <c r="Y226" s="8"/>
      <c r="Z226" s="47">
        <v>0</v>
      </c>
      <c r="AA226" s="47">
        <v>18765.48</v>
      </c>
      <c r="AB226" s="41">
        <f t="shared" si="153"/>
        <v>18765.48</v>
      </c>
      <c r="AC226" s="1">
        <f t="shared" si="154"/>
        <v>18765.48</v>
      </c>
      <c r="AD226" s="41">
        <v>19046.939999999999</v>
      </c>
      <c r="AE226" s="1">
        <f t="shared" si="139"/>
        <v>281.45999999999913</v>
      </c>
      <c r="AF226" s="1">
        <f t="shared" si="140"/>
        <v>19046.939999999999</v>
      </c>
    </row>
    <row r="227" spans="1:32">
      <c r="A227" s="11">
        <v>45900</v>
      </c>
      <c r="B227" s="11">
        <v>13002</v>
      </c>
      <c r="C227" s="11" t="s">
        <v>189</v>
      </c>
      <c r="D227" s="7">
        <v>0</v>
      </c>
      <c r="E227" s="7">
        <v>278605.92</v>
      </c>
      <c r="F227" s="7">
        <f>D227-E227</f>
        <v>-278605.92</v>
      </c>
      <c r="G227" s="7">
        <v>278605.92</v>
      </c>
      <c r="H227" s="7">
        <f>D227+G227</f>
        <v>278605.92</v>
      </c>
      <c r="I227" s="1">
        <v>252116.2</v>
      </c>
      <c r="J227" s="1">
        <f>H227-I227</f>
        <v>26489.719999999972</v>
      </c>
      <c r="K227" s="1">
        <v>-26489.72</v>
      </c>
      <c r="L227" s="1">
        <f>H227+K227</f>
        <v>252116.19999999998</v>
      </c>
      <c r="M227" s="7">
        <f>179491.06-L227</f>
        <v>-72625.139999999985</v>
      </c>
      <c r="N227" s="1">
        <f>L227+M227</f>
        <v>179491.06</v>
      </c>
      <c r="O227" s="1">
        <v>137340.28</v>
      </c>
      <c r="P227" s="1">
        <f>O227-N227</f>
        <v>-42150.78</v>
      </c>
      <c r="Q227" s="1">
        <f>N227+P227</f>
        <v>137340.28</v>
      </c>
      <c r="R227" s="41">
        <v>40106.92</v>
      </c>
      <c r="S227" s="1">
        <f>R227-Q227</f>
        <v>-97233.36</v>
      </c>
      <c r="T227" s="1">
        <f>Q227+S227</f>
        <v>40106.92</v>
      </c>
      <c r="U227" s="1">
        <v>31010.14</v>
      </c>
      <c r="V227" s="1">
        <f>U227-T227</f>
        <v>-9096.7799999999988</v>
      </c>
      <c r="W227" s="1">
        <f>T227+V227</f>
        <v>31010.14</v>
      </c>
      <c r="X227" s="1">
        <v>30029.25</v>
      </c>
      <c r="Y227" s="41">
        <f>X227-W227</f>
        <v>-980.88999999999942</v>
      </c>
      <c r="Z227" s="1">
        <f>W227+Y227</f>
        <v>30029.25</v>
      </c>
      <c r="AA227" s="41">
        <v>21049.93</v>
      </c>
      <c r="AB227" s="41">
        <f t="shared" si="153"/>
        <v>-8979.32</v>
      </c>
      <c r="AC227" s="1">
        <f t="shared" si="154"/>
        <v>21049.93</v>
      </c>
      <c r="AD227" s="41">
        <v>21365.73</v>
      </c>
      <c r="AE227" s="1">
        <f t="shared" si="139"/>
        <v>315.79999999999927</v>
      </c>
      <c r="AF227" s="1">
        <f t="shared" si="140"/>
        <v>21365.73</v>
      </c>
    </row>
    <row r="228" spans="1:32">
      <c r="A228" s="11">
        <v>92000</v>
      </c>
      <c r="B228" s="11">
        <v>13002</v>
      </c>
      <c r="C228" s="11" t="s">
        <v>201</v>
      </c>
      <c r="D228" s="7">
        <v>0</v>
      </c>
      <c r="E228" s="7">
        <v>104971.88</v>
      </c>
      <c r="F228" s="7">
        <f>D228-E228</f>
        <v>-104971.88</v>
      </c>
      <c r="G228" s="7">
        <v>104971.88</v>
      </c>
      <c r="H228" s="7">
        <f>D228+G228</f>
        <v>104971.88</v>
      </c>
      <c r="I228" s="1">
        <v>90141.1</v>
      </c>
      <c r="J228" s="1">
        <f>H228-I228</f>
        <v>14830.779999999999</v>
      </c>
      <c r="K228" s="1">
        <v>-14830.78</v>
      </c>
      <c r="L228" s="1">
        <f>H228+K228</f>
        <v>90141.1</v>
      </c>
      <c r="M228" s="7">
        <f>80795.96-L228</f>
        <v>-9345.14</v>
      </c>
      <c r="N228" s="1">
        <f>L228+M228</f>
        <v>80795.960000000006</v>
      </c>
      <c r="O228" s="1">
        <v>81304.72</v>
      </c>
      <c r="P228" s="1">
        <f>O228-N228</f>
        <v>508.75999999999476</v>
      </c>
      <c r="Q228" s="1">
        <f>N228+P228</f>
        <v>81304.72</v>
      </c>
      <c r="R228" s="1">
        <v>44669.24</v>
      </c>
      <c r="S228" s="1">
        <f>R228-Q228</f>
        <v>-36635.480000000003</v>
      </c>
      <c r="T228" s="1">
        <f>Q228+S228</f>
        <v>44669.24</v>
      </c>
      <c r="U228" s="1">
        <v>27244.84</v>
      </c>
      <c r="V228" s="1">
        <f>U228-T228</f>
        <v>-17424.399999999998</v>
      </c>
      <c r="W228" s="1">
        <f>T228+V228</f>
        <v>27244.84</v>
      </c>
      <c r="X228" s="1">
        <v>42570.73</v>
      </c>
      <c r="Y228" s="41">
        <f>X228-W228</f>
        <v>15325.890000000003</v>
      </c>
      <c r="Z228" s="1">
        <f>W228+Y228</f>
        <v>42570.73</v>
      </c>
      <c r="AA228" s="1">
        <v>42996.56</v>
      </c>
      <c r="AB228" s="1">
        <f t="shared" si="153"/>
        <v>425.82999999999447</v>
      </c>
      <c r="AC228" s="1">
        <f t="shared" si="154"/>
        <v>42996.56</v>
      </c>
      <c r="AD228" s="41">
        <v>41049.269999999997</v>
      </c>
      <c r="AE228" s="1">
        <f t="shared" si="139"/>
        <v>-1947.2900000000009</v>
      </c>
      <c r="AF228" s="1">
        <f t="shared" si="140"/>
        <v>41049.269999999997</v>
      </c>
    </row>
    <row r="229" spans="1:32">
      <c r="A229" s="11">
        <v>92600</v>
      </c>
      <c r="B229" s="11">
        <v>13002</v>
      </c>
      <c r="C229" s="11" t="s">
        <v>202</v>
      </c>
      <c r="D229" s="7">
        <v>0</v>
      </c>
      <c r="E229" s="7">
        <v>11408.39</v>
      </c>
      <c r="F229" s="7">
        <f>D229-E229</f>
        <v>-11408.39</v>
      </c>
      <c r="G229" s="7">
        <v>11408.39</v>
      </c>
      <c r="H229" s="7">
        <f>D229+G229</f>
        <v>11408.39</v>
      </c>
      <c r="I229" s="7">
        <v>12645.08</v>
      </c>
      <c r="J229" s="7">
        <f>H229-I229</f>
        <v>-1236.6900000000005</v>
      </c>
      <c r="K229" s="7">
        <v>1236.69</v>
      </c>
      <c r="L229" s="7">
        <v>12645.08</v>
      </c>
      <c r="M229" s="7">
        <v>0</v>
      </c>
      <c r="N229" s="7">
        <f>L229+M229</f>
        <v>12645.08</v>
      </c>
      <c r="O229" s="7">
        <v>12645.08</v>
      </c>
      <c r="P229" s="1">
        <f>O229-N229</f>
        <v>0</v>
      </c>
      <c r="Q229" s="1">
        <f>N229+P229</f>
        <v>12645.08</v>
      </c>
      <c r="R229" s="1">
        <v>12645.08</v>
      </c>
      <c r="S229" s="1">
        <f>R229-Q229</f>
        <v>0</v>
      </c>
      <c r="T229" s="1">
        <f>Q229+S229</f>
        <v>12645.08</v>
      </c>
      <c r="U229" s="1">
        <v>12645.08</v>
      </c>
      <c r="V229" s="1">
        <f>U229-T229</f>
        <v>0</v>
      </c>
      <c r="W229" s="1">
        <f>T229+V229</f>
        <v>12645.08</v>
      </c>
      <c r="X229" s="1">
        <v>12771.53</v>
      </c>
      <c r="Y229" s="41">
        <f>X229-W229</f>
        <v>126.45000000000073</v>
      </c>
      <c r="Z229" s="1">
        <f>W229+Y229</f>
        <v>12771.53</v>
      </c>
      <c r="AA229" s="1">
        <v>12899.21</v>
      </c>
      <c r="AB229" s="1">
        <f t="shared" si="153"/>
        <v>127.67999999999847</v>
      </c>
      <c r="AC229" s="1">
        <f t="shared" si="154"/>
        <v>12899.21</v>
      </c>
      <c r="AD229" s="41">
        <v>13092.81</v>
      </c>
      <c r="AE229" s="1">
        <f t="shared" si="139"/>
        <v>193.60000000000036</v>
      </c>
      <c r="AF229" s="1">
        <f t="shared" si="140"/>
        <v>13092.81</v>
      </c>
    </row>
    <row r="230" spans="1:32">
      <c r="A230" s="11">
        <v>93100</v>
      </c>
      <c r="B230" s="11">
        <v>13002</v>
      </c>
      <c r="C230" s="11" t="s">
        <v>222</v>
      </c>
      <c r="D230" s="7">
        <v>0</v>
      </c>
      <c r="E230" s="7">
        <v>9149.33</v>
      </c>
      <c r="F230" s="7">
        <f>D230-E230</f>
        <v>-9149.33</v>
      </c>
      <c r="G230" s="7">
        <v>9149.33</v>
      </c>
      <c r="H230" s="7">
        <f>D230+G230</f>
        <v>9149.33</v>
      </c>
      <c r="I230" s="1">
        <v>10141.040000000001</v>
      </c>
      <c r="J230" s="1">
        <f>H230-I230</f>
        <v>-991.71000000000095</v>
      </c>
      <c r="K230" s="1">
        <v>991.71</v>
      </c>
      <c r="L230" s="1">
        <f>H230+K230</f>
        <v>10141.040000000001</v>
      </c>
      <c r="M230" s="7">
        <f>20282.08-L230</f>
        <v>10141.040000000001</v>
      </c>
      <c r="N230" s="1">
        <f>L230+M230</f>
        <v>20282.080000000002</v>
      </c>
      <c r="O230" s="1">
        <v>20282.080000000002</v>
      </c>
      <c r="P230" s="1">
        <f>O230-N230</f>
        <v>0</v>
      </c>
      <c r="Q230" s="1">
        <f>N230+P230</f>
        <v>20282.080000000002</v>
      </c>
      <c r="R230" s="1">
        <v>20282.080000000002</v>
      </c>
      <c r="S230" s="1">
        <f>R230-Q230</f>
        <v>0</v>
      </c>
      <c r="T230" s="1">
        <f>Q230+S230</f>
        <v>20282.080000000002</v>
      </c>
      <c r="U230" s="1">
        <v>10141.040000000001</v>
      </c>
      <c r="V230" s="1">
        <f>U230-T230</f>
        <v>-10141.040000000001</v>
      </c>
      <c r="W230" s="1">
        <f>T230+V230</f>
        <v>10141.040000000001</v>
      </c>
      <c r="X230" s="1">
        <v>20484.900000000001</v>
      </c>
      <c r="Y230" s="41">
        <f>X230-W230</f>
        <v>10343.86</v>
      </c>
      <c r="Z230" s="1">
        <f>W230+Y230</f>
        <v>20484.900000000001</v>
      </c>
      <c r="AA230" s="1">
        <v>20689.919999999998</v>
      </c>
      <c r="AB230" s="1">
        <f t="shared" si="153"/>
        <v>205.0199999999968</v>
      </c>
      <c r="AC230" s="1">
        <f t="shared" si="154"/>
        <v>20689.919999999998</v>
      </c>
      <c r="AD230" s="41">
        <v>21000.400000000001</v>
      </c>
      <c r="AE230" s="1">
        <f t="shared" si="139"/>
        <v>310.4800000000032</v>
      </c>
      <c r="AF230" s="1">
        <f t="shared" si="140"/>
        <v>21000.400000000001</v>
      </c>
    </row>
    <row r="231" spans="1:32">
      <c r="A231" s="11">
        <v>13000</v>
      </c>
      <c r="B231" s="11">
        <v>13100</v>
      </c>
      <c r="C231" s="11" t="s">
        <v>265</v>
      </c>
      <c r="D231" s="7">
        <v>9905.4500000000007</v>
      </c>
      <c r="E231" s="7">
        <v>9935.16</v>
      </c>
      <c r="F231" s="7">
        <f>D231-E231</f>
        <v>-29.709999999999127</v>
      </c>
      <c r="G231" s="7">
        <v>29.71</v>
      </c>
      <c r="H231" s="7">
        <f>D231+G231</f>
        <v>9935.16</v>
      </c>
      <c r="I231" s="1">
        <v>0</v>
      </c>
      <c r="J231" s="1">
        <f>H231-I231</f>
        <v>9935.16</v>
      </c>
      <c r="K231" s="1">
        <v>-9935.16</v>
      </c>
      <c r="L231" s="1">
        <f>H231+K231</f>
        <v>0</v>
      </c>
      <c r="M231" s="7">
        <v>17914.259999999998</v>
      </c>
      <c r="N231" s="1">
        <f>L231+M231</f>
        <v>17914.259999999998</v>
      </c>
      <c r="O231" s="1">
        <v>10969.62</v>
      </c>
      <c r="P231" s="1">
        <f>O231-N231</f>
        <v>-6944.6399999999976</v>
      </c>
      <c r="Q231" s="1">
        <f>N231+P231</f>
        <v>10969.62</v>
      </c>
      <c r="R231" s="1">
        <v>10969.62</v>
      </c>
      <c r="S231" s="1">
        <f>R231-Q231</f>
        <v>0</v>
      </c>
      <c r="T231" s="1">
        <f>Q231+S231</f>
        <v>10969.62</v>
      </c>
      <c r="U231" s="1">
        <v>0</v>
      </c>
      <c r="V231" s="1">
        <f>U231-T231</f>
        <v>-10969.62</v>
      </c>
      <c r="W231" s="1">
        <f>T231+V231</f>
        <v>0</v>
      </c>
      <c r="X231" s="1">
        <v>10871.25</v>
      </c>
      <c r="Y231" s="41">
        <f>X231-W231</f>
        <v>10871.25</v>
      </c>
      <c r="Z231" s="1">
        <f>W231+Y231</f>
        <v>10871.25</v>
      </c>
      <c r="AA231" s="1">
        <v>0</v>
      </c>
      <c r="AB231" s="1">
        <f t="shared" si="153"/>
        <v>-10871.25</v>
      </c>
      <c r="AC231" s="1">
        <f t="shared" si="154"/>
        <v>0</v>
      </c>
      <c r="AD231" s="41">
        <v>0</v>
      </c>
      <c r="AE231" s="1">
        <f t="shared" si="139"/>
        <v>0</v>
      </c>
      <c r="AF231" s="1">
        <f t="shared" si="140"/>
        <v>0</v>
      </c>
    </row>
    <row r="232" spans="1:32">
      <c r="A232" s="11">
        <v>13300</v>
      </c>
      <c r="B232" s="11">
        <v>13100</v>
      </c>
      <c r="C232" s="39" t="s">
        <v>835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47"/>
      <c r="R232" s="41"/>
      <c r="T232" s="1"/>
      <c r="V232" s="1"/>
      <c r="W232" s="1"/>
      <c r="X232" s="41"/>
      <c r="Y232" s="41"/>
      <c r="Z232" s="1">
        <v>0</v>
      </c>
      <c r="AA232" s="41">
        <v>0</v>
      </c>
      <c r="AB232" s="41">
        <f t="shared" si="153"/>
        <v>0</v>
      </c>
      <c r="AC232" s="1">
        <f t="shared" si="154"/>
        <v>0</v>
      </c>
      <c r="AD232" s="41">
        <v>0</v>
      </c>
      <c r="AE232" s="1">
        <f t="shared" si="139"/>
        <v>0</v>
      </c>
      <c r="AF232" s="1">
        <f t="shared" si="140"/>
        <v>0</v>
      </c>
    </row>
    <row r="233" spans="1:32">
      <c r="A233" s="11">
        <v>15100</v>
      </c>
      <c r="B233" s="19">
        <v>13100</v>
      </c>
      <c r="C233" s="11" t="s">
        <v>639</v>
      </c>
      <c r="D233" s="7">
        <v>9905.4500000000007</v>
      </c>
      <c r="E233" s="7">
        <v>9935.16</v>
      </c>
      <c r="F233" s="7">
        <f>D233-E233</f>
        <v>-29.709999999999127</v>
      </c>
      <c r="G233" s="7">
        <v>29.71</v>
      </c>
      <c r="H233" s="7">
        <f>D233+G233</f>
        <v>9935.16</v>
      </c>
      <c r="I233" s="1">
        <v>0</v>
      </c>
      <c r="J233" s="1">
        <f>H233-I233</f>
        <v>9935.16</v>
      </c>
      <c r="K233" s="1">
        <v>-9935.16</v>
      </c>
      <c r="L233" s="1">
        <f>H233+K233</f>
        <v>0</v>
      </c>
      <c r="M233" s="7">
        <v>5484.81</v>
      </c>
      <c r="N233" s="1">
        <f>L233+M233</f>
        <v>5484.81</v>
      </c>
      <c r="O233" s="1">
        <v>5484.81</v>
      </c>
      <c r="P233" s="1">
        <f>O233-N233</f>
        <v>0</v>
      </c>
      <c r="Q233" s="1">
        <f>N233+P233</f>
        <v>5484.81</v>
      </c>
      <c r="R233" s="1">
        <v>14239.29</v>
      </c>
      <c r="S233" s="1">
        <f>R233-Q233</f>
        <v>8754.48</v>
      </c>
      <c r="T233" s="1">
        <f>Q233+S233</f>
        <v>14239.29</v>
      </c>
      <c r="U233" s="1">
        <v>8879.7800000000007</v>
      </c>
      <c r="V233" s="1">
        <f>U233-T233</f>
        <v>-5359.51</v>
      </c>
      <c r="W233" s="1">
        <f>T233+V233</f>
        <v>8879.7800000000007</v>
      </c>
      <c r="X233" s="1">
        <v>5465.34</v>
      </c>
      <c r="Y233" s="41">
        <f t="shared" ref="Y233:Y241" si="155">X233-W233</f>
        <v>-3414.4400000000005</v>
      </c>
      <c r="Z233" s="1">
        <f t="shared" ref="Z233:Z241" si="156">W233+Y233</f>
        <v>5465.34</v>
      </c>
      <c r="AA233" s="1">
        <v>0</v>
      </c>
      <c r="AB233" s="1">
        <f t="shared" si="153"/>
        <v>-5465.34</v>
      </c>
      <c r="AC233" s="1">
        <f t="shared" si="154"/>
        <v>0</v>
      </c>
      <c r="AD233" s="41">
        <v>0</v>
      </c>
      <c r="AE233" s="1">
        <f t="shared" si="139"/>
        <v>0</v>
      </c>
      <c r="AF233" s="1">
        <f t="shared" si="140"/>
        <v>0</v>
      </c>
    </row>
    <row r="234" spans="1:32">
      <c r="A234" s="11">
        <v>17000</v>
      </c>
      <c r="B234" s="19">
        <v>13100</v>
      </c>
      <c r="C234" s="42" t="s">
        <v>797</v>
      </c>
      <c r="D234" s="7"/>
      <c r="E234" s="7"/>
      <c r="F234" s="7"/>
      <c r="G234" s="7"/>
      <c r="H234" s="7"/>
      <c r="I234" s="16"/>
      <c r="J234" s="1"/>
      <c r="K234" s="16"/>
      <c r="L234" s="1"/>
      <c r="N234" s="1"/>
      <c r="O234" s="1"/>
      <c r="R234" s="41"/>
      <c r="T234" s="1"/>
      <c r="V234" s="1"/>
      <c r="W234" s="1">
        <v>0</v>
      </c>
      <c r="X234" s="1">
        <v>2585.12</v>
      </c>
      <c r="Y234" s="41">
        <f t="shared" si="155"/>
        <v>2585.12</v>
      </c>
      <c r="Z234" s="1">
        <f t="shared" si="156"/>
        <v>2585.12</v>
      </c>
      <c r="AA234" s="41">
        <v>0</v>
      </c>
      <c r="AB234" s="1">
        <f t="shared" si="153"/>
        <v>-2585.12</v>
      </c>
      <c r="AC234" s="1">
        <f t="shared" si="154"/>
        <v>0</v>
      </c>
      <c r="AD234" s="41">
        <v>0</v>
      </c>
      <c r="AE234" s="1">
        <f t="shared" si="139"/>
        <v>0</v>
      </c>
      <c r="AF234" s="1">
        <f t="shared" si="140"/>
        <v>0</v>
      </c>
    </row>
    <row r="235" spans="1:32">
      <c r="A235" s="42">
        <v>17100</v>
      </c>
      <c r="B235" s="19">
        <v>13100</v>
      </c>
      <c r="C235" s="42" t="s">
        <v>811</v>
      </c>
      <c r="D235" s="7"/>
      <c r="E235" s="7"/>
      <c r="F235" s="7"/>
      <c r="G235" s="7"/>
      <c r="H235" s="7"/>
      <c r="I235" s="16"/>
      <c r="J235" s="1"/>
      <c r="K235" s="16"/>
      <c r="L235" s="1"/>
      <c r="N235" s="1"/>
      <c r="O235" s="1"/>
      <c r="R235" s="41"/>
      <c r="T235" s="1"/>
      <c r="V235" s="1"/>
      <c r="W235" s="1">
        <v>0</v>
      </c>
      <c r="X235" s="1">
        <v>5993.29</v>
      </c>
      <c r="Y235" s="41">
        <f t="shared" si="155"/>
        <v>5993.29</v>
      </c>
      <c r="Z235" s="1">
        <f t="shared" si="156"/>
        <v>5993.29</v>
      </c>
      <c r="AA235" s="41">
        <v>0</v>
      </c>
      <c r="AB235" s="1">
        <f t="shared" si="153"/>
        <v>-5993.29</v>
      </c>
      <c r="AC235" s="1">
        <f t="shared" si="154"/>
        <v>0</v>
      </c>
      <c r="AD235" s="41">
        <v>0</v>
      </c>
      <c r="AE235" s="1">
        <f t="shared" si="139"/>
        <v>0</v>
      </c>
      <c r="AF235" s="1">
        <f t="shared" si="140"/>
        <v>0</v>
      </c>
    </row>
    <row r="236" spans="1:32">
      <c r="A236" s="13">
        <v>23110</v>
      </c>
      <c r="B236" s="19">
        <v>13100</v>
      </c>
      <c r="C236" s="42" t="s">
        <v>799</v>
      </c>
      <c r="D236" s="8"/>
      <c r="E236" s="8"/>
      <c r="F236" s="8"/>
      <c r="G236" s="8"/>
      <c r="H236" s="8"/>
      <c r="I236" s="8"/>
      <c r="J236" s="8"/>
      <c r="K236" s="8"/>
      <c r="L236" s="10"/>
      <c r="M236" s="10"/>
      <c r="N236" s="7"/>
      <c r="O236" s="7"/>
      <c r="R236" s="41"/>
      <c r="T236" s="1"/>
      <c r="U236" s="41"/>
      <c r="V236" s="1"/>
      <c r="W236" s="1">
        <v>0</v>
      </c>
      <c r="X236" s="41">
        <v>5343.44</v>
      </c>
      <c r="Y236" s="41">
        <f t="shared" si="155"/>
        <v>5343.44</v>
      </c>
      <c r="Z236" s="1">
        <f t="shared" si="156"/>
        <v>5343.44</v>
      </c>
      <c r="AA236" s="41">
        <v>0</v>
      </c>
      <c r="AB236" s="41">
        <f t="shared" si="153"/>
        <v>-5343.44</v>
      </c>
      <c r="AC236" s="1">
        <f t="shared" si="154"/>
        <v>0</v>
      </c>
      <c r="AD236" s="41">
        <v>0</v>
      </c>
      <c r="AE236" s="1">
        <f t="shared" si="139"/>
        <v>0</v>
      </c>
      <c r="AF236" s="1">
        <f t="shared" si="140"/>
        <v>0</v>
      </c>
    </row>
    <row r="237" spans="1:32">
      <c r="A237" s="42">
        <v>23113</v>
      </c>
      <c r="B237" s="11">
        <v>13100</v>
      </c>
      <c r="C237" s="11" t="s">
        <v>342</v>
      </c>
      <c r="D237" s="7">
        <v>202143.7</v>
      </c>
      <c r="E237" s="7">
        <v>221875.35</v>
      </c>
      <c r="F237" s="7">
        <f>D237-E237</f>
        <v>-19731.649999999994</v>
      </c>
      <c r="G237" s="7">
        <v>19731.650000000001</v>
      </c>
      <c r="H237" s="7">
        <f>D237+G237</f>
        <v>221875.35</v>
      </c>
      <c r="I237" s="7">
        <v>35209.019999999997</v>
      </c>
      <c r="J237" s="7">
        <f>H237-I237</f>
        <v>186666.33000000002</v>
      </c>
      <c r="K237" s="7">
        <v>-186666.33</v>
      </c>
      <c r="L237" s="7">
        <v>35209.019999999997</v>
      </c>
      <c r="M237" s="7">
        <f>85327.54-L237</f>
        <v>50118.52</v>
      </c>
      <c r="N237" s="7">
        <f>L237+M237</f>
        <v>85327.54</v>
      </c>
      <c r="O237" s="7">
        <v>32680.06</v>
      </c>
      <c r="P237" s="1">
        <f>O237-N237</f>
        <v>-52647.479999999996</v>
      </c>
      <c r="Q237" s="1">
        <f>N237+P237</f>
        <v>32680.059999999998</v>
      </c>
      <c r="R237" s="41">
        <v>17062.080000000002</v>
      </c>
      <c r="S237" s="1">
        <f>R237-Q237</f>
        <v>-15617.979999999996</v>
      </c>
      <c r="T237" s="1">
        <f>Q237+S237</f>
        <v>17062.080000000002</v>
      </c>
      <c r="U237" s="41">
        <v>8432.9</v>
      </c>
      <c r="V237" s="1">
        <f>U237-T237</f>
        <v>-8629.1800000000021</v>
      </c>
      <c r="W237" s="1">
        <f>T237+V237</f>
        <v>8432.9</v>
      </c>
      <c r="X237" s="41">
        <v>8707.7000000000007</v>
      </c>
      <c r="Y237" s="41">
        <f t="shared" si="155"/>
        <v>274.80000000000109</v>
      </c>
      <c r="Z237" s="1">
        <f t="shared" si="156"/>
        <v>8707.7000000000007</v>
      </c>
      <c r="AA237" s="41">
        <v>8795.2199999999993</v>
      </c>
      <c r="AB237" s="41">
        <f t="shared" si="153"/>
        <v>87.519999999998618</v>
      </c>
      <c r="AC237" s="1">
        <f t="shared" si="154"/>
        <v>8795.2199999999993</v>
      </c>
      <c r="AD237" s="41">
        <v>9454.24</v>
      </c>
      <c r="AE237" s="1">
        <f t="shared" si="139"/>
        <v>659.02000000000044</v>
      </c>
      <c r="AF237" s="1">
        <f t="shared" si="140"/>
        <v>9454.24</v>
      </c>
    </row>
    <row r="238" spans="1:32">
      <c r="A238" s="11">
        <v>32000</v>
      </c>
      <c r="B238" s="11">
        <v>13100</v>
      </c>
      <c r="C238" s="11" t="s">
        <v>360</v>
      </c>
      <c r="D238" s="7">
        <v>26963.63</v>
      </c>
      <c r="E238" s="7">
        <v>27044.52</v>
      </c>
      <c r="F238" s="7">
        <f>D238-E238</f>
        <v>-80.889999999999418</v>
      </c>
      <c r="G238" s="7">
        <v>80.89</v>
      </c>
      <c r="H238" s="7">
        <f>D238+G238</f>
        <v>27044.52</v>
      </c>
      <c r="I238" s="1">
        <v>17888.64</v>
      </c>
      <c r="J238" s="1">
        <f>H238-I238</f>
        <v>9155.880000000001</v>
      </c>
      <c r="K238" s="1">
        <v>-9155.8799999999992</v>
      </c>
      <c r="L238" s="1">
        <f>H238+K238</f>
        <v>17888.64</v>
      </c>
      <c r="M238" s="7">
        <f>24112.9-L238</f>
        <v>6224.260000000002</v>
      </c>
      <c r="N238" s="1">
        <f>L238+M238</f>
        <v>24112.9</v>
      </c>
      <c r="O238" s="1">
        <v>24812.9</v>
      </c>
      <c r="P238" s="1">
        <f>O238-N238</f>
        <v>700</v>
      </c>
      <c r="Q238" s="1">
        <f>N238+P238</f>
        <v>24812.9</v>
      </c>
      <c r="R238" s="41">
        <v>8378.58</v>
      </c>
      <c r="S238" s="1">
        <f>R238-Q238</f>
        <v>-16434.32</v>
      </c>
      <c r="T238" s="1">
        <f>Q238+S238</f>
        <v>8378.5800000000017</v>
      </c>
      <c r="U238" s="41">
        <v>0</v>
      </c>
      <c r="V238" s="1">
        <f>U238-T238</f>
        <v>-8378.5800000000017</v>
      </c>
      <c r="W238" s="1">
        <f>T238+V238</f>
        <v>0</v>
      </c>
      <c r="X238" s="41">
        <v>16041.5</v>
      </c>
      <c r="Y238" s="41">
        <f t="shared" si="155"/>
        <v>16041.5</v>
      </c>
      <c r="Z238" s="1">
        <f t="shared" si="156"/>
        <v>16041.5</v>
      </c>
      <c r="AA238" s="41">
        <v>0</v>
      </c>
      <c r="AB238" s="41">
        <f t="shared" si="153"/>
        <v>-16041.5</v>
      </c>
      <c r="AC238" s="1">
        <f t="shared" si="154"/>
        <v>0</v>
      </c>
      <c r="AD238" s="41">
        <v>0</v>
      </c>
      <c r="AE238" s="1">
        <f t="shared" si="139"/>
        <v>0</v>
      </c>
      <c r="AF238" s="1">
        <f t="shared" si="140"/>
        <v>0</v>
      </c>
    </row>
    <row r="239" spans="1:32">
      <c r="A239" s="11">
        <v>34000</v>
      </c>
      <c r="B239" s="11">
        <v>13100</v>
      </c>
      <c r="C239" s="11" t="s">
        <v>437</v>
      </c>
      <c r="D239" s="7">
        <v>93792.76</v>
      </c>
      <c r="E239" s="7">
        <v>100573.84</v>
      </c>
      <c r="F239" s="7">
        <f>D239-E239</f>
        <v>-6781.0800000000017</v>
      </c>
      <c r="G239" s="7">
        <v>6781.08</v>
      </c>
      <c r="H239" s="7">
        <f>D239+G239</f>
        <v>100573.84</v>
      </c>
      <c r="I239" s="16">
        <v>33371.040000000001</v>
      </c>
      <c r="J239" s="16">
        <f>H239-I239</f>
        <v>67202.799999999988</v>
      </c>
      <c r="K239" s="16">
        <v>-67202.8</v>
      </c>
      <c r="L239" s="1">
        <f>H239+K239</f>
        <v>33371.039999999994</v>
      </c>
      <c r="M239" s="7">
        <v>-33371.040000000001</v>
      </c>
      <c r="N239" s="1">
        <f>L239+M239</f>
        <v>0</v>
      </c>
      <c r="O239" s="1">
        <v>16757.16</v>
      </c>
      <c r="P239" s="1">
        <f>O239-N239</f>
        <v>16757.16</v>
      </c>
      <c r="Q239" s="1">
        <f>N239+P239</f>
        <v>16757.16</v>
      </c>
      <c r="R239" s="1">
        <v>7048.65</v>
      </c>
      <c r="S239" s="1">
        <f>R239-Q239</f>
        <v>-9708.51</v>
      </c>
      <c r="T239" s="1">
        <f>Q239+S239</f>
        <v>7048.65</v>
      </c>
      <c r="U239" s="1">
        <v>8244.32</v>
      </c>
      <c r="V239" s="1">
        <f>U239-T239</f>
        <v>1195.67</v>
      </c>
      <c r="W239" s="1">
        <f>T239+V239</f>
        <v>8244.32</v>
      </c>
      <c r="X239" s="1">
        <v>21036.86</v>
      </c>
      <c r="Y239" s="41">
        <f t="shared" si="155"/>
        <v>12792.54</v>
      </c>
      <c r="Z239" s="1">
        <f t="shared" si="156"/>
        <v>21036.86</v>
      </c>
      <c r="AA239" s="1">
        <v>19706.91</v>
      </c>
      <c r="AB239" s="1">
        <f t="shared" si="153"/>
        <v>-1329.9500000000007</v>
      </c>
      <c r="AC239" s="1">
        <f t="shared" si="154"/>
        <v>19706.91</v>
      </c>
      <c r="AD239" s="41">
        <v>19989.95</v>
      </c>
      <c r="AE239" s="1">
        <f t="shared" si="139"/>
        <v>283.04000000000087</v>
      </c>
      <c r="AF239" s="1">
        <f t="shared" si="140"/>
        <v>19989.95</v>
      </c>
    </row>
    <row r="240" spans="1:32">
      <c r="A240" s="11">
        <v>45900</v>
      </c>
      <c r="B240" s="11">
        <v>13100</v>
      </c>
      <c r="C240" s="11" t="s">
        <v>164</v>
      </c>
      <c r="D240" s="7">
        <v>23748.720000000001</v>
      </c>
      <c r="E240" s="7">
        <v>107080.02</v>
      </c>
      <c r="F240" s="7">
        <f>D240-E240</f>
        <v>-83331.3</v>
      </c>
      <c r="G240" s="7">
        <v>83331.3</v>
      </c>
      <c r="H240" s="7">
        <f>D240+G240</f>
        <v>107080.02</v>
      </c>
      <c r="I240" s="1">
        <v>16945.740000000002</v>
      </c>
      <c r="J240" s="1">
        <f>H240-I240</f>
        <v>90134.28</v>
      </c>
      <c r="K240" s="1">
        <v>-90134.28</v>
      </c>
      <c r="L240" s="1">
        <f>H240+K240</f>
        <v>16945.740000000005</v>
      </c>
      <c r="M240" s="7">
        <f>23924.32-L240</f>
        <v>6978.5799999999945</v>
      </c>
      <c r="N240" s="1">
        <f>L240+M240</f>
        <v>23924.32</v>
      </c>
      <c r="O240" s="1">
        <v>25135.74</v>
      </c>
      <c r="P240" s="1">
        <f>O240-N240</f>
        <v>1211.4200000000019</v>
      </c>
      <c r="Q240" s="1">
        <f>N240+P240</f>
        <v>25135.74</v>
      </c>
      <c r="R240" s="41"/>
      <c r="S240" s="1">
        <f>R240-Q240</f>
        <v>-25135.74</v>
      </c>
      <c r="T240" s="1">
        <f>Q240+S240</f>
        <v>0</v>
      </c>
      <c r="V240" s="1">
        <f>U240-T240</f>
        <v>0</v>
      </c>
      <c r="W240" s="1">
        <f>T240+V240</f>
        <v>0</v>
      </c>
      <c r="X240" s="1">
        <v>7755.38</v>
      </c>
      <c r="Y240" s="41">
        <f t="shared" si="155"/>
        <v>7755.38</v>
      </c>
      <c r="Z240" s="1">
        <f t="shared" si="156"/>
        <v>7755.38</v>
      </c>
      <c r="AA240" s="41">
        <v>0</v>
      </c>
      <c r="AB240" s="41">
        <f t="shared" si="153"/>
        <v>-7755.38</v>
      </c>
      <c r="AC240" s="1">
        <f t="shared" si="154"/>
        <v>0</v>
      </c>
      <c r="AD240" s="41">
        <v>0</v>
      </c>
      <c r="AE240" s="1">
        <f t="shared" si="139"/>
        <v>0</v>
      </c>
      <c r="AF240" s="1">
        <f t="shared" si="140"/>
        <v>0</v>
      </c>
    </row>
    <row r="241" spans="1:32">
      <c r="A241" s="11">
        <v>13000</v>
      </c>
      <c r="B241" s="11">
        <v>13101</v>
      </c>
      <c r="C241" s="11" t="s">
        <v>266</v>
      </c>
      <c r="D241" s="7">
        <v>9121.9699999999993</v>
      </c>
      <c r="E241" s="7">
        <v>9149.33</v>
      </c>
      <c r="F241" s="7">
        <f>D241-E241</f>
        <v>-27.360000000000582</v>
      </c>
      <c r="G241" s="7">
        <v>27.36</v>
      </c>
      <c r="H241" s="7">
        <f>D241+G241</f>
        <v>9149.33</v>
      </c>
      <c r="I241" s="1">
        <v>0</v>
      </c>
      <c r="J241" s="1">
        <f>H241-I241</f>
        <v>9149.33</v>
      </c>
      <c r="K241" s="1">
        <v>-9149.33</v>
      </c>
      <c r="L241" s="1">
        <f>H241+K241</f>
        <v>0</v>
      </c>
      <c r="M241" s="7">
        <v>22092.44</v>
      </c>
      <c r="N241" s="1">
        <f>L241+M241</f>
        <v>22092.44</v>
      </c>
      <c r="O241" s="1">
        <v>12995.66</v>
      </c>
      <c r="P241" s="1">
        <f>O241-N241</f>
        <v>-9096.7799999999988</v>
      </c>
      <c r="Q241" s="1">
        <f>N241+P241</f>
        <v>12995.66</v>
      </c>
      <c r="R241" s="1">
        <v>12995.66</v>
      </c>
      <c r="S241" s="1">
        <f>R241-Q241</f>
        <v>0</v>
      </c>
      <c r="T241" s="1">
        <f>Q241+S241</f>
        <v>12995.66</v>
      </c>
      <c r="U241" s="1">
        <v>0</v>
      </c>
      <c r="V241" s="1">
        <f>U241-T241</f>
        <v>-12995.66</v>
      </c>
      <c r="W241" s="1">
        <f>T241+V241</f>
        <v>0</v>
      </c>
      <c r="X241" s="1">
        <v>12807.12</v>
      </c>
      <c r="Y241" s="41">
        <f t="shared" si="155"/>
        <v>12807.12</v>
      </c>
      <c r="Z241" s="1">
        <f t="shared" si="156"/>
        <v>12807.12</v>
      </c>
      <c r="AA241" s="1">
        <v>0</v>
      </c>
      <c r="AB241" s="1">
        <f t="shared" si="153"/>
        <v>-12807.12</v>
      </c>
      <c r="AC241" s="1">
        <f t="shared" si="154"/>
        <v>0</v>
      </c>
      <c r="AD241" s="41">
        <v>0</v>
      </c>
      <c r="AE241" s="1">
        <f t="shared" si="139"/>
        <v>0</v>
      </c>
      <c r="AF241" s="1">
        <f t="shared" si="140"/>
        <v>0</v>
      </c>
    </row>
    <row r="242" spans="1:32">
      <c r="A242" s="11">
        <v>13300</v>
      </c>
      <c r="B242" s="11">
        <v>13101</v>
      </c>
      <c r="C242" s="39" t="s">
        <v>836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47"/>
      <c r="R242" s="41"/>
      <c r="T242" s="1"/>
      <c r="V242" s="1"/>
      <c r="W242" s="1"/>
      <c r="X242" s="41"/>
      <c r="Y242" s="41"/>
      <c r="Z242" s="1">
        <v>0</v>
      </c>
      <c r="AA242" s="41">
        <v>0</v>
      </c>
      <c r="AB242" s="41">
        <f t="shared" si="153"/>
        <v>0</v>
      </c>
      <c r="AC242" s="1">
        <f t="shared" si="154"/>
        <v>0</v>
      </c>
      <c r="AD242" s="41">
        <v>0</v>
      </c>
      <c r="AE242" s="1">
        <f t="shared" si="139"/>
        <v>0</v>
      </c>
      <c r="AF242" s="1">
        <f t="shared" si="140"/>
        <v>0</v>
      </c>
    </row>
    <row r="243" spans="1:32">
      <c r="A243" s="11">
        <v>15100</v>
      </c>
      <c r="B243" s="19">
        <v>13101</v>
      </c>
      <c r="C243" s="11" t="s">
        <v>640</v>
      </c>
      <c r="D243" s="7">
        <v>9121.9699999999993</v>
      </c>
      <c r="E243" s="7">
        <v>9149.33</v>
      </c>
      <c r="F243" s="7">
        <f>D243-E243</f>
        <v>-27.360000000000582</v>
      </c>
      <c r="G243" s="7">
        <v>27.36</v>
      </c>
      <c r="H243" s="7">
        <f>D243+G243</f>
        <v>9149.33</v>
      </c>
      <c r="I243" s="1">
        <v>0</v>
      </c>
      <c r="J243" s="1">
        <f>H243-I243</f>
        <v>9149.33</v>
      </c>
      <c r="K243" s="1">
        <v>-9149.33</v>
      </c>
      <c r="L243" s="1">
        <f>H243+K243</f>
        <v>0</v>
      </c>
      <c r="M243" s="7">
        <v>6497.83</v>
      </c>
      <c r="N243" s="1">
        <f>L243+M243</f>
        <v>6497.83</v>
      </c>
      <c r="O243" s="1">
        <v>6497.83</v>
      </c>
      <c r="P243" s="1">
        <f>O243-N243</f>
        <v>0</v>
      </c>
      <c r="Q243" s="1">
        <f>N243+P243</f>
        <v>6497.83</v>
      </c>
      <c r="R243" s="1">
        <v>16638.87</v>
      </c>
      <c r="S243" s="1">
        <f>R243-Q243</f>
        <v>10141.039999999999</v>
      </c>
      <c r="T243" s="1">
        <f>Q243+S243</f>
        <v>16638.87</v>
      </c>
      <c r="U243" s="1">
        <v>1014.04</v>
      </c>
      <c r="V243" s="1">
        <f>U243-T243</f>
        <v>-15624.829999999998</v>
      </c>
      <c r="W243" s="1">
        <f>T243+V243</f>
        <v>1014.0400000000009</v>
      </c>
      <c r="X243" s="1">
        <v>6330.4</v>
      </c>
      <c r="Y243" s="41">
        <f t="shared" ref="Y243:Y250" si="157">X243-W243</f>
        <v>5316.3599999999988</v>
      </c>
      <c r="Z243" s="1">
        <f t="shared" ref="Z243:Z250" si="158">W243+Y243</f>
        <v>6330.4</v>
      </c>
      <c r="AA243" s="1">
        <v>0</v>
      </c>
      <c r="AB243" s="1">
        <f t="shared" si="153"/>
        <v>-6330.4</v>
      </c>
      <c r="AC243" s="1">
        <f t="shared" si="154"/>
        <v>0</v>
      </c>
      <c r="AD243" s="41">
        <v>0</v>
      </c>
      <c r="AE243" s="1">
        <f t="shared" si="139"/>
        <v>0</v>
      </c>
      <c r="AF243" s="1">
        <f t="shared" si="140"/>
        <v>0</v>
      </c>
    </row>
    <row r="244" spans="1:32">
      <c r="A244" s="11">
        <v>17000</v>
      </c>
      <c r="B244" s="19">
        <v>13101</v>
      </c>
      <c r="C244" s="42" t="s">
        <v>798</v>
      </c>
      <c r="D244" s="7"/>
      <c r="E244" s="7"/>
      <c r="F244" s="7"/>
      <c r="G244" s="7"/>
      <c r="H244" s="7"/>
      <c r="I244" s="16"/>
      <c r="J244" s="1"/>
      <c r="K244" s="16"/>
      <c r="L244" s="1"/>
      <c r="N244" s="1"/>
      <c r="O244" s="1"/>
      <c r="R244" s="41"/>
      <c r="T244" s="1"/>
      <c r="V244" s="1"/>
      <c r="W244" s="1">
        <v>0</v>
      </c>
      <c r="X244" s="1">
        <v>3062.58</v>
      </c>
      <c r="Y244" s="41">
        <f t="shared" si="157"/>
        <v>3062.58</v>
      </c>
      <c r="Z244" s="1">
        <f t="shared" si="158"/>
        <v>3062.58</v>
      </c>
      <c r="AA244" s="41">
        <v>0</v>
      </c>
      <c r="AB244" s="1">
        <f t="shared" si="153"/>
        <v>-3062.58</v>
      </c>
      <c r="AC244" s="1">
        <f t="shared" si="154"/>
        <v>0</v>
      </c>
      <c r="AD244" s="41">
        <v>0</v>
      </c>
      <c r="AE244" s="1">
        <f t="shared" si="139"/>
        <v>0</v>
      </c>
      <c r="AF244" s="1">
        <f t="shared" si="140"/>
        <v>0</v>
      </c>
    </row>
    <row r="245" spans="1:32">
      <c r="A245" s="42">
        <v>17100</v>
      </c>
      <c r="B245" s="19">
        <v>13101</v>
      </c>
      <c r="C245" s="42" t="s">
        <v>812</v>
      </c>
      <c r="D245" s="7"/>
      <c r="E245" s="7"/>
      <c r="F245" s="7"/>
      <c r="G245" s="7"/>
      <c r="H245" s="7"/>
      <c r="I245" s="16"/>
      <c r="J245" s="1"/>
      <c r="K245" s="16"/>
      <c r="L245" s="1"/>
      <c r="N245" s="1"/>
      <c r="O245" s="1"/>
      <c r="R245" s="41"/>
      <c r="T245" s="1"/>
      <c r="V245" s="1"/>
      <c r="W245" s="1">
        <v>0</v>
      </c>
      <c r="X245" s="1">
        <v>7154.49</v>
      </c>
      <c r="Y245" s="41">
        <f t="shared" si="157"/>
        <v>7154.49</v>
      </c>
      <c r="Z245" s="1">
        <f t="shared" si="158"/>
        <v>7154.49</v>
      </c>
      <c r="AA245" s="41">
        <v>0</v>
      </c>
      <c r="AB245" s="1">
        <f t="shared" si="153"/>
        <v>-7154.49</v>
      </c>
      <c r="AC245" s="1">
        <f t="shared" si="154"/>
        <v>0</v>
      </c>
      <c r="AD245" s="41">
        <v>0</v>
      </c>
      <c r="AE245" s="1">
        <f t="shared" si="139"/>
        <v>0</v>
      </c>
      <c r="AF245" s="1">
        <f t="shared" si="140"/>
        <v>0</v>
      </c>
    </row>
    <row r="246" spans="1:32">
      <c r="A246" s="13">
        <v>23110</v>
      </c>
      <c r="B246" s="19">
        <v>13101</v>
      </c>
      <c r="C246" s="42" t="s">
        <v>800</v>
      </c>
      <c r="D246" s="8"/>
      <c r="E246" s="8"/>
      <c r="F246" s="8"/>
      <c r="G246" s="8"/>
      <c r="H246" s="8"/>
      <c r="I246" s="8"/>
      <c r="J246" s="8"/>
      <c r="K246" s="8"/>
      <c r="L246" s="10"/>
      <c r="M246" s="10"/>
      <c r="N246" s="7"/>
      <c r="O246" s="7"/>
      <c r="R246" s="41"/>
      <c r="T246" s="1"/>
      <c r="U246" s="41"/>
      <c r="V246" s="1"/>
      <c r="W246" s="1">
        <v>0</v>
      </c>
      <c r="X246" s="41">
        <v>6330.4</v>
      </c>
      <c r="Y246" s="41">
        <f t="shared" si="157"/>
        <v>6330.4</v>
      </c>
      <c r="Z246" s="1">
        <f t="shared" si="158"/>
        <v>6330.4</v>
      </c>
      <c r="AA246" s="41">
        <v>0</v>
      </c>
      <c r="AB246" s="41">
        <f t="shared" si="153"/>
        <v>-6330.4</v>
      </c>
      <c r="AC246" s="1">
        <f t="shared" si="154"/>
        <v>0</v>
      </c>
      <c r="AD246" s="41">
        <v>0</v>
      </c>
      <c r="AE246" s="1">
        <f t="shared" si="139"/>
        <v>0</v>
      </c>
      <c r="AF246" s="1">
        <f t="shared" si="140"/>
        <v>0</v>
      </c>
    </row>
    <row r="247" spans="1:32">
      <c r="A247" s="42">
        <v>23113</v>
      </c>
      <c r="B247" s="11">
        <v>13101</v>
      </c>
      <c r="C247" s="11" t="s">
        <v>343</v>
      </c>
      <c r="D247" s="7">
        <v>195898.92</v>
      </c>
      <c r="E247" s="7">
        <v>213705.18</v>
      </c>
      <c r="F247" s="7">
        <f>D247-E247</f>
        <v>-17806.25999999998</v>
      </c>
      <c r="G247" s="7">
        <v>17806.259999999998</v>
      </c>
      <c r="H247" s="7">
        <f>D247+G247</f>
        <v>213705.18000000002</v>
      </c>
      <c r="I247" s="7">
        <v>40319.019999999997</v>
      </c>
      <c r="J247" s="7">
        <f>H247-I247</f>
        <v>173386.16000000003</v>
      </c>
      <c r="K247" s="7">
        <v>-173386.16</v>
      </c>
      <c r="L247" s="7">
        <v>40319.019999999997</v>
      </c>
      <c r="M247" s="7">
        <f>52925.04-L247</f>
        <v>12606.020000000004</v>
      </c>
      <c r="N247" s="7">
        <f>L247+M247</f>
        <v>52925.04</v>
      </c>
      <c r="O247" s="7">
        <v>38093.58</v>
      </c>
      <c r="P247" s="1">
        <f>O247-N247</f>
        <v>-14831.46</v>
      </c>
      <c r="Q247" s="1">
        <f>N247+P247</f>
        <v>38093.58</v>
      </c>
      <c r="R247" s="41">
        <v>22038.799999999999</v>
      </c>
      <c r="S247" s="1">
        <f>R247-Q247</f>
        <v>-16054.780000000002</v>
      </c>
      <c r="T247" s="1">
        <f>Q247+S247</f>
        <v>22038.799999999999</v>
      </c>
      <c r="U247" s="41">
        <v>8966.58</v>
      </c>
      <c r="V247" s="1">
        <f>U247-T247</f>
        <v>-13072.22</v>
      </c>
      <c r="W247" s="1">
        <f>T247+V247</f>
        <v>8966.58</v>
      </c>
      <c r="X247" s="41">
        <v>9056.25</v>
      </c>
      <c r="Y247" s="41">
        <f t="shared" si="157"/>
        <v>89.670000000000073</v>
      </c>
      <c r="Z247" s="1">
        <f t="shared" si="158"/>
        <v>9056.25</v>
      </c>
      <c r="AA247" s="41">
        <v>9146.89</v>
      </c>
      <c r="AB247" s="41">
        <f t="shared" si="153"/>
        <v>90.639999999999418</v>
      </c>
      <c r="AC247" s="1">
        <f t="shared" si="154"/>
        <v>9146.89</v>
      </c>
      <c r="AD247" s="41">
        <v>11511.38</v>
      </c>
      <c r="AE247" s="1">
        <f t="shared" si="139"/>
        <v>2364.4899999999998</v>
      </c>
      <c r="AF247" s="1">
        <f t="shared" si="140"/>
        <v>11511.38</v>
      </c>
    </row>
    <row r="248" spans="1:32">
      <c r="A248" s="11">
        <v>32000</v>
      </c>
      <c r="B248" s="11">
        <v>13101</v>
      </c>
      <c r="C248" s="11" t="s">
        <v>361</v>
      </c>
      <c r="D248" s="7">
        <v>23987.34</v>
      </c>
      <c r="E248" s="7">
        <v>24059.3</v>
      </c>
      <c r="F248" s="7">
        <f>D248-E248</f>
        <v>-71.959999999999127</v>
      </c>
      <c r="G248" s="7">
        <v>71.959999999999994</v>
      </c>
      <c r="H248" s="7">
        <f>D248+G248</f>
        <v>24059.3</v>
      </c>
      <c r="I248" s="1">
        <v>19211.080000000002</v>
      </c>
      <c r="J248" s="1">
        <f>H248-I248</f>
        <v>4848.2199999999975</v>
      </c>
      <c r="K248" s="1">
        <v>-4848.22</v>
      </c>
      <c r="L248" s="1">
        <f>H248+K248</f>
        <v>19211.079999999998</v>
      </c>
      <c r="M248" s="7">
        <f>28334.6-L248</f>
        <v>9123.52</v>
      </c>
      <c r="N248" s="1">
        <f>L248+M248</f>
        <v>28334.6</v>
      </c>
      <c r="O248" s="1">
        <v>29867.040000000001</v>
      </c>
      <c r="P248" s="1">
        <f>O248-N248</f>
        <v>1532.4400000000023</v>
      </c>
      <c r="Q248" s="1">
        <f>N248+P248</f>
        <v>29867.040000000001</v>
      </c>
      <c r="R248" s="41">
        <v>10141.040000000001</v>
      </c>
      <c r="S248" s="1">
        <f>R248-Q248</f>
        <v>-19726</v>
      </c>
      <c r="T248" s="1">
        <f>Q248+S248</f>
        <v>10141.040000000001</v>
      </c>
      <c r="U248" s="41">
        <v>0</v>
      </c>
      <c r="V248" s="1">
        <f>U248-T248</f>
        <v>-10141.040000000001</v>
      </c>
      <c r="W248" s="1">
        <f>T248+V248</f>
        <v>0</v>
      </c>
      <c r="X248" s="41">
        <v>18717.18</v>
      </c>
      <c r="Y248" s="41">
        <f t="shared" si="157"/>
        <v>18717.18</v>
      </c>
      <c r="Z248" s="1">
        <f t="shared" si="158"/>
        <v>18717.18</v>
      </c>
      <c r="AA248" s="41">
        <v>0</v>
      </c>
      <c r="AB248" s="41">
        <f t="shared" ref="AB248:AB250" si="159">AA248-Z248</f>
        <v>-18717.18</v>
      </c>
      <c r="AC248" s="1">
        <f t="shared" ref="AC248:AC250" si="160">Z248+AB248</f>
        <v>0</v>
      </c>
      <c r="AD248" s="41">
        <v>0</v>
      </c>
      <c r="AE248" s="1">
        <f t="shared" si="139"/>
        <v>0</v>
      </c>
      <c r="AF248" s="1">
        <f t="shared" si="140"/>
        <v>0</v>
      </c>
    </row>
    <row r="249" spans="1:32">
      <c r="A249" s="11">
        <v>34000</v>
      </c>
      <c r="B249" s="11">
        <v>13101</v>
      </c>
      <c r="C249" s="11" t="s">
        <v>438</v>
      </c>
      <c r="D249" s="7">
        <v>81172.17</v>
      </c>
      <c r="E249" s="7">
        <v>84369.87</v>
      </c>
      <c r="F249" s="7">
        <f>D249-E249</f>
        <v>-3197.6999999999971</v>
      </c>
      <c r="G249" s="7">
        <v>3197.7</v>
      </c>
      <c r="H249" s="7">
        <f>D249+G249</f>
        <v>84369.87</v>
      </c>
      <c r="I249" s="16">
        <v>37931.07</v>
      </c>
      <c r="J249" s="16">
        <f>H249-I249</f>
        <v>46438.799999999996</v>
      </c>
      <c r="K249" s="16">
        <v>-46438.8</v>
      </c>
      <c r="L249" s="1">
        <f>H249+K249</f>
        <v>37931.069999999992</v>
      </c>
      <c r="M249" s="7">
        <v>-37931.07</v>
      </c>
      <c r="N249" s="1">
        <f>L249+M249</f>
        <v>0</v>
      </c>
      <c r="O249" s="1">
        <v>19542.04</v>
      </c>
      <c r="P249" s="1">
        <f>O249-N249</f>
        <v>19542.04</v>
      </c>
      <c r="Q249" s="1">
        <f>N249+P249</f>
        <v>19542.04</v>
      </c>
      <c r="R249" s="1">
        <v>8795.44</v>
      </c>
      <c r="S249" s="1">
        <f>R249-Q249</f>
        <v>-10746.6</v>
      </c>
      <c r="T249" s="1">
        <f>Q249+S249</f>
        <v>8795.44</v>
      </c>
      <c r="U249" s="1">
        <v>9605.5400000000009</v>
      </c>
      <c r="V249" s="1">
        <f>U249-T249</f>
        <v>810.10000000000036</v>
      </c>
      <c r="W249" s="1">
        <f>T249+V249</f>
        <v>9605.5400000000009</v>
      </c>
      <c r="X249" s="1">
        <v>24915.38</v>
      </c>
      <c r="Y249" s="41">
        <f t="shared" si="157"/>
        <v>15309.84</v>
      </c>
      <c r="Z249" s="1">
        <f t="shared" si="158"/>
        <v>24915.38</v>
      </c>
      <c r="AA249" s="1">
        <v>22698.01</v>
      </c>
      <c r="AB249" s="1">
        <f t="shared" si="159"/>
        <v>-2217.3700000000026</v>
      </c>
      <c r="AC249" s="1">
        <f t="shared" si="160"/>
        <v>22698.01</v>
      </c>
      <c r="AD249" s="41">
        <v>23038.49</v>
      </c>
      <c r="AE249" s="1">
        <f t="shared" si="139"/>
        <v>340.4800000000032</v>
      </c>
      <c r="AF249" s="1">
        <f t="shared" si="140"/>
        <v>23038.49</v>
      </c>
    </row>
    <row r="250" spans="1:32">
      <c r="A250" s="11">
        <v>45900</v>
      </c>
      <c r="B250" s="11">
        <v>13101</v>
      </c>
      <c r="C250" s="11" t="s">
        <v>165</v>
      </c>
      <c r="D250" s="7">
        <v>20008.349999999999</v>
      </c>
      <c r="E250" s="7">
        <v>89648.87</v>
      </c>
      <c r="F250" s="7">
        <f>D250-E250</f>
        <v>-69640.51999999999</v>
      </c>
      <c r="G250" s="7">
        <v>69640.52</v>
      </c>
      <c r="H250" s="7">
        <f>D250+G250</f>
        <v>89648.87</v>
      </c>
      <c r="I250" s="1">
        <v>18193.560000000001</v>
      </c>
      <c r="J250" s="1">
        <f>H250-I250</f>
        <v>71455.31</v>
      </c>
      <c r="K250" s="1">
        <v>-71455.31</v>
      </c>
      <c r="L250" s="1">
        <f>H250+K250</f>
        <v>18193.559999999998</v>
      </c>
      <c r="M250" s="7">
        <f>27695.64-L250</f>
        <v>9502.0800000000017</v>
      </c>
      <c r="N250" s="1">
        <f>L250+M250</f>
        <v>27695.64</v>
      </c>
      <c r="O250" s="1">
        <v>28203</v>
      </c>
      <c r="P250" s="1">
        <f>O250-N250</f>
        <v>507.36000000000058</v>
      </c>
      <c r="Q250" s="1">
        <f>N250+P250</f>
        <v>28203</v>
      </c>
      <c r="R250" s="41"/>
      <c r="S250" s="1">
        <f>R250-Q250</f>
        <v>-28203</v>
      </c>
      <c r="T250" s="1">
        <f>Q250+S250</f>
        <v>0</v>
      </c>
      <c r="V250" s="1">
        <f>U250-T250</f>
        <v>0</v>
      </c>
      <c r="W250" s="1">
        <f>T250+V250</f>
        <v>0</v>
      </c>
      <c r="X250" s="1">
        <v>9187.74</v>
      </c>
      <c r="Y250" s="41">
        <f t="shared" si="157"/>
        <v>9187.74</v>
      </c>
      <c r="Z250" s="1">
        <f t="shared" si="158"/>
        <v>9187.74</v>
      </c>
      <c r="AA250" s="41">
        <v>0</v>
      </c>
      <c r="AB250" s="41">
        <f t="shared" si="159"/>
        <v>-9187.74</v>
      </c>
      <c r="AC250" s="1">
        <f t="shared" si="160"/>
        <v>0</v>
      </c>
      <c r="AD250" s="41">
        <v>0</v>
      </c>
      <c r="AE250" s="1">
        <f t="shared" si="139"/>
        <v>0</v>
      </c>
      <c r="AF250" s="1">
        <f t="shared" si="140"/>
        <v>0</v>
      </c>
    </row>
    <row r="251" spans="1:32">
      <c r="A251" s="11">
        <v>13000</v>
      </c>
      <c r="B251" s="11">
        <v>15000</v>
      </c>
      <c r="C251" s="11" t="s">
        <v>941</v>
      </c>
      <c r="D251" s="7"/>
      <c r="E251" s="7"/>
      <c r="F251" s="7"/>
      <c r="G251" s="7"/>
      <c r="H251" s="7"/>
      <c r="I251" s="1"/>
      <c r="J251" s="1"/>
      <c r="K251" s="1"/>
      <c r="L251" s="1"/>
      <c r="N251" s="1"/>
      <c r="O251" s="1"/>
      <c r="T251" s="1"/>
      <c r="V251" s="1"/>
      <c r="W251" s="1"/>
      <c r="Y251" s="41"/>
      <c r="Z251" s="1"/>
      <c r="AB251" s="1"/>
      <c r="AC251" s="1">
        <v>0</v>
      </c>
      <c r="AD251" s="41">
        <v>5000</v>
      </c>
      <c r="AE251" s="1">
        <f t="shared" si="139"/>
        <v>5000</v>
      </c>
      <c r="AF251" s="1">
        <f t="shared" si="140"/>
        <v>5000</v>
      </c>
    </row>
    <row r="252" spans="1:32">
      <c r="A252" s="11">
        <v>13200</v>
      </c>
      <c r="B252" s="11">
        <v>15000</v>
      </c>
      <c r="C252" s="11" t="s">
        <v>387</v>
      </c>
      <c r="D252" s="7"/>
      <c r="E252" s="7"/>
      <c r="F252" s="7"/>
      <c r="G252" s="7"/>
      <c r="H252" s="7"/>
      <c r="I252" s="1"/>
      <c r="J252" s="1"/>
      <c r="K252" s="1"/>
      <c r="L252" s="1"/>
      <c r="N252" s="1">
        <v>0</v>
      </c>
      <c r="O252" s="1">
        <v>30000</v>
      </c>
      <c r="P252" s="1">
        <f>O252-N252</f>
        <v>30000</v>
      </c>
      <c r="Q252" s="1">
        <f>N252+P252</f>
        <v>30000</v>
      </c>
      <c r="R252" s="1">
        <v>30000</v>
      </c>
      <c r="S252" s="1">
        <f>R252-Q252</f>
        <v>0</v>
      </c>
      <c r="T252" s="1">
        <f>Q252+S252</f>
        <v>30000</v>
      </c>
      <c r="U252" s="1">
        <v>30000</v>
      </c>
      <c r="V252" s="1">
        <f>U252-T252</f>
        <v>0</v>
      </c>
      <c r="W252" s="1">
        <f>T252+V252</f>
        <v>30000</v>
      </c>
      <c r="X252" s="1">
        <v>25000</v>
      </c>
      <c r="Y252" s="41">
        <f>X252-W252</f>
        <v>-5000</v>
      </c>
      <c r="Z252" s="1">
        <f>W252+Y252</f>
        <v>25000</v>
      </c>
      <c r="AA252" s="1">
        <v>0</v>
      </c>
      <c r="AB252" s="1">
        <f t="shared" ref="AB252:AB293" si="161">AA252-Z252</f>
        <v>-25000</v>
      </c>
      <c r="AC252" s="1">
        <f t="shared" ref="AC252:AC293" si="162">Z252+AB252</f>
        <v>0</v>
      </c>
      <c r="AD252" s="41">
        <v>0</v>
      </c>
      <c r="AE252" s="1">
        <f t="shared" si="139"/>
        <v>0</v>
      </c>
      <c r="AF252" s="1">
        <f t="shared" si="140"/>
        <v>0</v>
      </c>
    </row>
    <row r="253" spans="1:32">
      <c r="A253" s="11">
        <v>13300</v>
      </c>
      <c r="B253" s="11">
        <v>15000</v>
      </c>
      <c r="C253" s="39" t="s">
        <v>837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47"/>
      <c r="R253" s="41"/>
      <c r="T253" s="1"/>
      <c r="V253" s="1"/>
      <c r="W253" s="1"/>
      <c r="X253" s="41"/>
      <c r="Y253" s="41"/>
      <c r="Z253" s="1">
        <v>0</v>
      </c>
      <c r="AA253" s="41">
        <v>0</v>
      </c>
      <c r="AB253" s="41">
        <f t="shared" si="161"/>
        <v>0</v>
      </c>
      <c r="AC253" s="1">
        <f t="shared" si="162"/>
        <v>0</v>
      </c>
      <c r="AD253" s="41">
        <v>0</v>
      </c>
      <c r="AE253" s="1">
        <f t="shared" si="139"/>
        <v>0</v>
      </c>
      <c r="AF253" s="1">
        <f t="shared" si="140"/>
        <v>0</v>
      </c>
    </row>
    <row r="254" spans="1:32">
      <c r="A254" s="42">
        <v>17100</v>
      </c>
      <c r="B254" s="11">
        <v>15000</v>
      </c>
      <c r="C254" s="39" t="s">
        <v>387</v>
      </c>
      <c r="D254" s="7"/>
      <c r="E254" s="7"/>
      <c r="F254" s="7"/>
      <c r="G254" s="7"/>
      <c r="H254" s="7"/>
      <c r="I254" s="16"/>
      <c r="J254" s="16"/>
      <c r="K254" s="16"/>
      <c r="L254" s="16"/>
      <c r="N254" s="1"/>
      <c r="O254" s="1"/>
      <c r="R254" s="41"/>
      <c r="T254" s="1"/>
      <c r="V254" s="1"/>
      <c r="W254" s="1">
        <v>0</v>
      </c>
      <c r="X254" s="1">
        <v>2500</v>
      </c>
      <c r="Y254" s="41">
        <f t="shared" ref="Y254:Y263" si="163">X254-W254</f>
        <v>2500</v>
      </c>
      <c r="Z254" s="1">
        <f t="shared" ref="Z254:Z263" si="164">W254+Y254</f>
        <v>2500</v>
      </c>
      <c r="AA254" s="41">
        <v>1400</v>
      </c>
      <c r="AB254" s="1">
        <f t="shared" si="161"/>
        <v>-1100</v>
      </c>
      <c r="AC254" s="1">
        <f t="shared" si="162"/>
        <v>1400</v>
      </c>
      <c r="AD254" s="41">
        <v>1400</v>
      </c>
      <c r="AE254" s="1">
        <f t="shared" si="139"/>
        <v>0</v>
      </c>
      <c r="AF254" s="1">
        <f t="shared" si="140"/>
        <v>1400</v>
      </c>
    </row>
    <row r="255" spans="1:32">
      <c r="A255" s="13">
        <v>23110</v>
      </c>
      <c r="B255" s="11">
        <v>15000</v>
      </c>
      <c r="C255" s="11" t="s">
        <v>387</v>
      </c>
      <c r="D255" s="8"/>
      <c r="E255" s="8"/>
      <c r="F255" s="8"/>
      <c r="G255" s="8"/>
      <c r="H255" s="8"/>
      <c r="I255" s="8"/>
      <c r="J255" s="8"/>
      <c r="K255" s="8"/>
      <c r="L255" s="10"/>
      <c r="M255" s="10"/>
      <c r="N255" s="7">
        <v>0</v>
      </c>
      <c r="O255" s="7">
        <v>9000</v>
      </c>
      <c r="P255" s="1">
        <f>O255-N255</f>
        <v>9000</v>
      </c>
      <c r="Q255" s="1">
        <f>N255+P255</f>
        <v>9000</v>
      </c>
      <c r="R255" s="41">
        <v>3000</v>
      </c>
      <c r="S255" s="1">
        <f>R255-Q255</f>
        <v>-6000</v>
      </c>
      <c r="T255" s="1">
        <f>Q255+S255</f>
        <v>3000</v>
      </c>
      <c r="U255" s="41">
        <v>3000</v>
      </c>
      <c r="V255" s="1">
        <f>U255-T255</f>
        <v>0</v>
      </c>
      <c r="W255" s="1">
        <f>T255+V255</f>
        <v>3000</v>
      </c>
      <c r="X255" s="41">
        <v>3000</v>
      </c>
      <c r="Y255" s="41">
        <f t="shared" si="163"/>
        <v>0</v>
      </c>
      <c r="Z255" s="1">
        <f t="shared" si="164"/>
        <v>3000</v>
      </c>
      <c r="AA255" s="41">
        <v>3600</v>
      </c>
      <c r="AB255" s="41">
        <f t="shared" si="161"/>
        <v>600</v>
      </c>
      <c r="AC255" s="1">
        <f t="shared" si="162"/>
        <v>3600</v>
      </c>
      <c r="AD255" s="41">
        <v>2000</v>
      </c>
      <c r="AE255" s="1">
        <f t="shared" si="139"/>
        <v>-1600</v>
      </c>
      <c r="AF255" s="1">
        <f t="shared" si="140"/>
        <v>2000</v>
      </c>
    </row>
    <row r="256" spans="1:32">
      <c r="A256" s="42">
        <v>23113</v>
      </c>
      <c r="B256" s="11">
        <v>15000</v>
      </c>
      <c r="C256" s="11" t="s">
        <v>387</v>
      </c>
      <c r="D256" s="7"/>
      <c r="E256" s="7"/>
      <c r="F256" s="7"/>
      <c r="G256" s="7"/>
      <c r="H256" s="7"/>
      <c r="I256" s="7"/>
      <c r="J256" s="7"/>
      <c r="K256" s="7"/>
      <c r="L256" s="7"/>
      <c r="N256" s="7">
        <v>0</v>
      </c>
      <c r="O256" s="7">
        <v>500</v>
      </c>
      <c r="P256" s="1">
        <f>O256-N256</f>
        <v>500</v>
      </c>
      <c r="Q256" s="1">
        <f>N256+P256</f>
        <v>500</v>
      </c>
      <c r="R256" s="41">
        <v>600</v>
      </c>
      <c r="S256" s="1">
        <f>R256-Q256</f>
        <v>100</v>
      </c>
      <c r="T256" s="1">
        <f>Q256+S256</f>
        <v>600</v>
      </c>
      <c r="U256" s="41">
        <v>600</v>
      </c>
      <c r="V256" s="1">
        <f>U256-T256</f>
        <v>0</v>
      </c>
      <c r="W256" s="1">
        <f>T256+V256</f>
        <v>600</v>
      </c>
      <c r="X256" s="41">
        <v>10000</v>
      </c>
      <c r="Y256" s="41">
        <f t="shared" si="163"/>
        <v>9400</v>
      </c>
      <c r="Z256" s="1">
        <f t="shared" si="164"/>
        <v>10000</v>
      </c>
      <c r="AA256" s="41">
        <v>70000</v>
      </c>
      <c r="AB256" s="41">
        <f t="shared" si="161"/>
        <v>60000</v>
      </c>
      <c r="AC256" s="1">
        <f t="shared" si="162"/>
        <v>70000</v>
      </c>
      <c r="AD256" s="41">
        <v>70000</v>
      </c>
      <c r="AE256" s="1">
        <f t="shared" si="139"/>
        <v>0</v>
      </c>
      <c r="AF256" s="1">
        <f t="shared" si="140"/>
        <v>70000</v>
      </c>
    </row>
    <row r="257" spans="1:32">
      <c r="A257" s="11">
        <v>33220</v>
      </c>
      <c r="B257" s="11">
        <v>15000</v>
      </c>
      <c r="C257" s="11" t="s">
        <v>387</v>
      </c>
      <c r="D257" s="7"/>
      <c r="E257" s="7"/>
      <c r="F257" s="7"/>
      <c r="G257" s="7"/>
      <c r="H257" s="7"/>
      <c r="I257" s="1"/>
      <c r="J257" s="1"/>
      <c r="K257" s="1"/>
      <c r="L257" s="1"/>
      <c r="N257" s="1">
        <v>0</v>
      </c>
      <c r="O257" s="1">
        <v>1000</v>
      </c>
      <c r="P257" s="1">
        <f>O257-N257</f>
        <v>1000</v>
      </c>
      <c r="Q257" s="1">
        <f>N257+P257</f>
        <v>1000</v>
      </c>
      <c r="R257" s="1">
        <v>1000</v>
      </c>
      <c r="S257" s="1">
        <f>R257-Q257</f>
        <v>0</v>
      </c>
      <c r="T257" s="1">
        <f>Q257+S257</f>
        <v>1000</v>
      </c>
      <c r="U257" s="1">
        <v>1000</v>
      </c>
      <c r="V257" s="1">
        <f>U257-T257</f>
        <v>0</v>
      </c>
      <c r="W257" s="1">
        <f>T257+V257</f>
        <v>1000</v>
      </c>
      <c r="X257" s="1">
        <v>2500</v>
      </c>
      <c r="Y257" s="41">
        <f t="shared" si="163"/>
        <v>1500</v>
      </c>
      <c r="Z257" s="1">
        <f t="shared" si="164"/>
        <v>2500</v>
      </c>
      <c r="AA257" s="1">
        <v>3400</v>
      </c>
      <c r="AB257" s="41">
        <f t="shared" si="161"/>
        <v>900</v>
      </c>
      <c r="AC257" s="1">
        <f t="shared" si="162"/>
        <v>3400</v>
      </c>
      <c r="AD257" s="41">
        <v>3400</v>
      </c>
      <c r="AE257" s="1">
        <f t="shared" si="139"/>
        <v>0</v>
      </c>
      <c r="AF257" s="1">
        <f t="shared" si="140"/>
        <v>3400</v>
      </c>
    </row>
    <row r="258" spans="1:32">
      <c r="A258" s="11">
        <v>33400</v>
      </c>
      <c r="B258" s="11">
        <v>15000</v>
      </c>
      <c r="C258" s="11" t="s">
        <v>387</v>
      </c>
      <c r="D258" s="7"/>
      <c r="E258" s="7"/>
      <c r="F258" s="7"/>
      <c r="G258" s="7"/>
      <c r="H258" s="7"/>
      <c r="I258" s="1"/>
      <c r="J258" s="1"/>
      <c r="K258" s="1"/>
      <c r="L258" s="1"/>
      <c r="N258" s="1">
        <v>0</v>
      </c>
      <c r="O258" s="1">
        <v>200</v>
      </c>
      <c r="P258" s="1">
        <f>O258-N258</f>
        <v>200</v>
      </c>
      <c r="Q258" s="1">
        <f>N258+P258</f>
        <v>200</v>
      </c>
      <c r="R258" s="1">
        <v>1000</v>
      </c>
      <c r="S258" s="1">
        <f>R258-Q258</f>
        <v>800</v>
      </c>
      <c r="T258" s="1">
        <f>Q258+S258</f>
        <v>1000</v>
      </c>
      <c r="U258" s="1">
        <v>1000</v>
      </c>
      <c r="V258" s="1">
        <f>U258-T258</f>
        <v>0</v>
      </c>
      <c r="W258" s="1">
        <f>T258+V258</f>
        <v>1000</v>
      </c>
      <c r="X258" s="1">
        <v>1500</v>
      </c>
      <c r="Y258" s="41">
        <f t="shared" si="163"/>
        <v>500</v>
      </c>
      <c r="Z258" s="1">
        <f t="shared" si="164"/>
        <v>1500</v>
      </c>
      <c r="AA258" s="1">
        <v>3100</v>
      </c>
      <c r="AB258" s="1">
        <f t="shared" si="161"/>
        <v>1600</v>
      </c>
      <c r="AC258" s="1">
        <f t="shared" si="162"/>
        <v>3100</v>
      </c>
      <c r="AD258" s="41">
        <v>2500</v>
      </c>
      <c r="AE258" s="1">
        <f t="shared" ref="AE258:AE321" si="165">AD258-AC258</f>
        <v>-600</v>
      </c>
      <c r="AF258" s="1">
        <f t="shared" ref="AF258:AF321" si="166">AC258+AE258</f>
        <v>2500</v>
      </c>
    </row>
    <row r="259" spans="1:32">
      <c r="A259" s="11">
        <v>33700</v>
      </c>
      <c r="B259" s="11">
        <v>15000</v>
      </c>
      <c r="C259" s="39" t="s">
        <v>387</v>
      </c>
      <c r="D259" s="7"/>
      <c r="E259" s="7"/>
      <c r="F259" s="7"/>
      <c r="G259" s="7"/>
      <c r="H259" s="7"/>
      <c r="I259" s="1"/>
      <c r="J259" s="1"/>
      <c r="K259" s="1"/>
      <c r="L259" s="1"/>
      <c r="N259" s="1"/>
      <c r="O259" s="1"/>
      <c r="Q259" s="1">
        <v>0</v>
      </c>
      <c r="R259" s="1">
        <v>7000</v>
      </c>
      <c r="S259" s="1">
        <f>R259-Q259</f>
        <v>7000</v>
      </c>
      <c r="T259" s="1">
        <f>Q259+S259</f>
        <v>7000</v>
      </c>
      <c r="U259" s="1">
        <v>7000</v>
      </c>
      <c r="V259" s="1">
        <f>U259-T259</f>
        <v>0</v>
      </c>
      <c r="W259" s="1">
        <f>T259+V259</f>
        <v>7000</v>
      </c>
      <c r="X259" s="1">
        <v>4000</v>
      </c>
      <c r="Y259" s="41">
        <f t="shared" si="163"/>
        <v>-3000</v>
      </c>
      <c r="Z259" s="1">
        <f t="shared" si="164"/>
        <v>4000</v>
      </c>
      <c r="AA259" s="1">
        <v>0</v>
      </c>
      <c r="AB259" s="1">
        <f t="shared" si="161"/>
        <v>-4000</v>
      </c>
      <c r="AC259" s="1">
        <f t="shared" si="162"/>
        <v>0</v>
      </c>
      <c r="AD259" s="41">
        <v>0</v>
      </c>
      <c r="AE259" s="1">
        <f t="shared" si="165"/>
        <v>0</v>
      </c>
      <c r="AF259" s="1">
        <f t="shared" si="166"/>
        <v>0</v>
      </c>
    </row>
    <row r="260" spans="1:32">
      <c r="A260" s="42">
        <v>33800</v>
      </c>
      <c r="B260" s="11">
        <v>15000</v>
      </c>
      <c r="C260" s="39" t="s">
        <v>387</v>
      </c>
      <c r="D260" s="7"/>
      <c r="E260" s="7"/>
      <c r="F260" s="7"/>
      <c r="G260" s="7"/>
      <c r="H260" s="7"/>
      <c r="I260" s="16"/>
      <c r="J260" s="16"/>
      <c r="K260" s="16"/>
      <c r="L260" s="1"/>
      <c r="N260" s="1"/>
      <c r="O260" s="1"/>
      <c r="T260" s="1"/>
      <c r="V260" s="1"/>
      <c r="W260" s="1">
        <v>0</v>
      </c>
      <c r="X260" s="1">
        <v>1000</v>
      </c>
      <c r="Y260" s="41">
        <f t="shared" si="163"/>
        <v>1000</v>
      </c>
      <c r="Z260" s="1">
        <f t="shared" si="164"/>
        <v>1000</v>
      </c>
      <c r="AA260" s="1">
        <v>0</v>
      </c>
      <c r="AB260" s="1">
        <f t="shared" si="161"/>
        <v>-1000</v>
      </c>
      <c r="AC260" s="1">
        <f t="shared" si="162"/>
        <v>0</v>
      </c>
      <c r="AD260" s="41">
        <v>0</v>
      </c>
      <c r="AE260" s="1">
        <f t="shared" si="165"/>
        <v>0</v>
      </c>
      <c r="AF260" s="1">
        <f t="shared" si="166"/>
        <v>0</v>
      </c>
    </row>
    <row r="261" spans="1:32">
      <c r="A261" s="11">
        <v>34000</v>
      </c>
      <c r="B261" s="11">
        <v>15000</v>
      </c>
      <c r="C261" s="39" t="s">
        <v>387</v>
      </c>
      <c r="D261" s="7"/>
      <c r="E261" s="7"/>
      <c r="F261" s="7"/>
      <c r="G261" s="7"/>
      <c r="H261" s="7"/>
      <c r="I261" s="16"/>
      <c r="J261" s="16"/>
      <c r="K261" s="16"/>
      <c r="L261" s="1"/>
      <c r="N261" s="1"/>
      <c r="O261" s="1"/>
      <c r="T261" s="1"/>
      <c r="V261" s="1"/>
      <c r="W261" s="1">
        <v>0</v>
      </c>
      <c r="X261" s="1">
        <v>1200</v>
      </c>
      <c r="Y261" s="41">
        <f t="shared" si="163"/>
        <v>1200</v>
      </c>
      <c r="Z261" s="1">
        <f t="shared" si="164"/>
        <v>1200</v>
      </c>
      <c r="AA261" s="1">
        <v>700</v>
      </c>
      <c r="AB261" s="1">
        <f t="shared" si="161"/>
        <v>-500</v>
      </c>
      <c r="AC261" s="1">
        <f t="shared" si="162"/>
        <v>700</v>
      </c>
      <c r="AD261" s="41">
        <v>700</v>
      </c>
      <c r="AE261" s="1">
        <f t="shared" si="165"/>
        <v>0</v>
      </c>
      <c r="AF261" s="1">
        <f t="shared" si="166"/>
        <v>700</v>
      </c>
    </row>
    <row r="262" spans="1:32">
      <c r="A262" s="42">
        <v>43200</v>
      </c>
      <c r="B262" s="11">
        <v>15000</v>
      </c>
      <c r="C262" s="39" t="s">
        <v>387</v>
      </c>
      <c r="D262" s="7"/>
      <c r="E262" s="7"/>
      <c r="F262" s="7"/>
      <c r="G262" s="7"/>
      <c r="H262" s="7"/>
      <c r="I262" s="16"/>
      <c r="J262" s="16"/>
      <c r="K262" s="16"/>
      <c r="L262" s="1"/>
      <c r="N262" s="1"/>
      <c r="O262" s="1"/>
      <c r="Q262" s="1">
        <v>0</v>
      </c>
      <c r="R262" s="1">
        <v>2500</v>
      </c>
      <c r="S262" s="1">
        <f>R262-Q262</f>
        <v>2500</v>
      </c>
      <c r="T262" s="1">
        <f>Q262+S262</f>
        <v>2500</v>
      </c>
      <c r="U262" s="1">
        <v>2500</v>
      </c>
      <c r="V262" s="1">
        <f>U262-T262</f>
        <v>0</v>
      </c>
      <c r="W262" s="1">
        <f>T262+V262</f>
        <v>2500</v>
      </c>
      <c r="X262" s="1">
        <v>2000</v>
      </c>
      <c r="Y262" s="41">
        <f t="shared" si="163"/>
        <v>-500</v>
      </c>
      <c r="Z262" s="1">
        <f t="shared" si="164"/>
        <v>2000</v>
      </c>
      <c r="AA262" s="1">
        <v>2500</v>
      </c>
      <c r="AB262" s="41">
        <f t="shared" si="161"/>
        <v>500</v>
      </c>
      <c r="AC262" s="1">
        <f t="shared" si="162"/>
        <v>2500</v>
      </c>
      <c r="AD262" s="41">
        <v>2500</v>
      </c>
      <c r="AE262" s="1">
        <f t="shared" si="165"/>
        <v>0</v>
      </c>
      <c r="AF262" s="1">
        <f t="shared" si="166"/>
        <v>2500</v>
      </c>
    </row>
    <row r="263" spans="1:32">
      <c r="A263" s="11">
        <v>92020</v>
      </c>
      <c r="B263" s="19">
        <v>15000</v>
      </c>
      <c r="C263" s="19" t="s">
        <v>296</v>
      </c>
      <c r="D263" s="20">
        <v>0</v>
      </c>
      <c r="E263" s="20"/>
      <c r="F263" s="20">
        <f>D263-E263</f>
        <v>0</v>
      </c>
      <c r="G263" s="20">
        <v>0</v>
      </c>
      <c r="H263" s="20">
        <f>D263+G263</f>
        <v>0</v>
      </c>
      <c r="I263" s="20">
        <v>0</v>
      </c>
      <c r="J263" s="20">
        <f>H263-I263</f>
        <v>0</v>
      </c>
      <c r="K263" s="20">
        <v>0</v>
      </c>
      <c r="L263" s="7">
        <v>0</v>
      </c>
      <c r="M263" s="7">
        <v>0</v>
      </c>
      <c r="N263" s="7">
        <f>L263+M263</f>
        <v>0</v>
      </c>
      <c r="O263" s="7">
        <v>4000</v>
      </c>
      <c r="P263" s="1">
        <f>O263-N263</f>
        <v>4000</v>
      </c>
      <c r="Q263" s="1">
        <f>N263+P263</f>
        <v>4000</v>
      </c>
      <c r="R263" s="1">
        <v>4000</v>
      </c>
      <c r="S263" s="1">
        <f>R263-Q263</f>
        <v>0</v>
      </c>
      <c r="T263" s="1">
        <f>Q263+S263</f>
        <v>4000</v>
      </c>
      <c r="U263" s="1">
        <v>4000</v>
      </c>
      <c r="V263" s="1">
        <f>U263-T263</f>
        <v>0</v>
      </c>
      <c r="W263" s="1">
        <f>T263+V263</f>
        <v>4000</v>
      </c>
      <c r="X263" s="1">
        <v>3000</v>
      </c>
      <c r="Y263" s="41">
        <f t="shared" si="163"/>
        <v>-1000</v>
      </c>
      <c r="Z263" s="1">
        <f t="shared" si="164"/>
        <v>3000</v>
      </c>
      <c r="AA263" s="1">
        <v>3100</v>
      </c>
      <c r="AB263" s="1">
        <f t="shared" si="161"/>
        <v>100</v>
      </c>
      <c r="AC263" s="1">
        <f t="shared" si="162"/>
        <v>3100</v>
      </c>
      <c r="AD263" s="41">
        <v>0</v>
      </c>
      <c r="AE263" s="1">
        <f t="shared" si="165"/>
        <v>-3100</v>
      </c>
      <c r="AF263" s="1">
        <f t="shared" si="166"/>
        <v>0</v>
      </c>
    </row>
    <row r="264" spans="1:32">
      <c r="A264" s="11">
        <v>93100</v>
      </c>
      <c r="B264" s="11">
        <v>15000</v>
      </c>
      <c r="C264" s="39" t="s">
        <v>856</v>
      </c>
      <c r="D264" s="7"/>
      <c r="E264" s="7"/>
      <c r="F264" s="7"/>
      <c r="G264" s="7"/>
      <c r="H264" s="7"/>
      <c r="I264" s="1"/>
      <c r="J264" s="1"/>
      <c r="K264" s="1"/>
      <c r="L264" s="1"/>
      <c r="N264" s="1"/>
      <c r="O264" s="1"/>
      <c r="T264" s="1"/>
      <c r="V264" s="1"/>
      <c r="W264" s="1"/>
      <c r="Y264" s="41"/>
      <c r="Z264" s="1">
        <v>0</v>
      </c>
      <c r="AA264" s="1">
        <v>35000</v>
      </c>
      <c r="AB264" s="1">
        <f t="shared" si="161"/>
        <v>35000</v>
      </c>
      <c r="AC264" s="1">
        <f t="shared" si="162"/>
        <v>35000</v>
      </c>
      <c r="AD264" s="41">
        <v>32500</v>
      </c>
      <c r="AE264" s="1">
        <f t="shared" si="165"/>
        <v>-2500</v>
      </c>
      <c r="AF264" s="1">
        <f t="shared" si="166"/>
        <v>32500</v>
      </c>
    </row>
    <row r="265" spans="1:32">
      <c r="A265" s="11">
        <v>92000</v>
      </c>
      <c r="B265" s="11">
        <v>15001</v>
      </c>
      <c r="C265" s="11" t="s">
        <v>237</v>
      </c>
      <c r="D265" s="7">
        <v>200000</v>
      </c>
      <c r="E265" s="7"/>
      <c r="F265" s="7">
        <f>D265-E265</f>
        <v>200000</v>
      </c>
      <c r="G265" s="7"/>
      <c r="H265" s="7">
        <f>D265+G265</f>
        <v>200000</v>
      </c>
      <c r="I265" s="1">
        <v>200000</v>
      </c>
      <c r="J265" s="1">
        <f>H265-I265</f>
        <v>0</v>
      </c>
      <c r="K265" s="1">
        <v>0</v>
      </c>
      <c r="L265" s="1">
        <f>H265+K265</f>
        <v>200000</v>
      </c>
      <c r="M265" s="7">
        <v>0</v>
      </c>
      <c r="N265" s="1">
        <f>L265+M265</f>
        <v>200000</v>
      </c>
      <c r="O265" s="1">
        <v>330000</v>
      </c>
      <c r="P265" s="1">
        <f>O265-N265</f>
        <v>130000</v>
      </c>
      <c r="Q265" s="1">
        <f>N265+P265</f>
        <v>330000</v>
      </c>
      <c r="R265" s="1">
        <v>330000</v>
      </c>
      <c r="S265" s="1">
        <v>-30000</v>
      </c>
      <c r="T265" s="1">
        <f>Q265+S265</f>
        <v>300000</v>
      </c>
      <c r="U265" s="1">
        <v>300000</v>
      </c>
      <c r="V265" s="1">
        <f>U265-T265</f>
        <v>0</v>
      </c>
      <c r="W265" s="1">
        <f>T265+V265</f>
        <v>300000</v>
      </c>
      <c r="X265" s="1">
        <v>100000</v>
      </c>
      <c r="Y265" s="41">
        <f>X265-W265</f>
        <v>-200000</v>
      </c>
      <c r="Z265" s="1">
        <f>W265+Y265</f>
        <v>100000</v>
      </c>
      <c r="AA265" s="1">
        <v>46700</v>
      </c>
      <c r="AB265" s="1">
        <f t="shared" si="161"/>
        <v>-53300</v>
      </c>
      <c r="AC265" s="1">
        <f t="shared" si="162"/>
        <v>46700</v>
      </c>
      <c r="AD265" s="41">
        <v>30000</v>
      </c>
      <c r="AE265" s="1">
        <f t="shared" si="165"/>
        <v>-16700</v>
      </c>
      <c r="AF265" s="1">
        <f t="shared" si="166"/>
        <v>30000</v>
      </c>
    </row>
    <row r="266" spans="1:32">
      <c r="A266" s="11">
        <v>92000</v>
      </c>
      <c r="B266" s="11">
        <v>15002</v>
      </c>
      <c r="C266" s="11" t="s">
        <v>238</v>
      </c>
      <c r="D266" s="7">
        <v>20000</v>
      </c>
      <c r="E266" s="7"/>
      <c r="F266" s="7">
        <f>D266-E266</f>
        <v>20000</v>
      </c>
      <c r="G266" s="7"/>
      <c r="H266" s="7">
        <f>D266+G266</f>
        <v>20000</v>
      </c>
      <c r="I266" s="1">
        <v>20000</v>
      </c>
      <c r="J266" s="1">
        <f>H266-I266</f>
        <v>0</v>
      </c>
      <c r="K266" s="1">
        <v>0</v>
      </c>
      <c r="L266" s="1">
        <f>H266+K266</f>
        <v>20000</v>
      </c>
      <c r="M266" s="7">
        <v>0</v>
      </c>
      <c r="N266" s="1">
        <f>L266+M266</f>
        <v>20000</v>
      </c>
      <c r="O266" s="1">
        <v>40000</v>
      </c>
      <c r="P266" s="1">
        <f>O266-N266</f>
        <v>20000</v>
      </c>
      <c r="Q266" s="1">
        <f>N266+P266</f>
        <v>40000</v>
      </c>
      <c r="T266" s="1">
        <f>Q266+S266</f>
        <v>40000</v>
      </c>
      <c r="U266" s="1">
        <v>40000</v>
      </c>
      <c r="V266" s="1">
        <f>U266-T266</f>
        <v>0</v>
      </c>
      <c r="W266" s="1">
        <f>T266+V266</f>
        <v>40000</v>
      </c>
      <c r="X266" s="1">
        <v>40000</v>
      </c>
      <c r="Y266" s="41">
        <f>X266-W266</f>
        <v>0</v>
      </c>
      <c r="Z266" s="1">
        <f>W266+Y266</f>
        <v>40000</v>
      </c>
      <c r="AA266" s="1">
        <v>40000</v>
      </c>
      <c r="AB266" s="1">
        <f t="shared" si="161"/>
        <v>0</v>
      </c>
      <c r="AC266" s="1">
        <f t="shared" si="162"/>
        <v>40000</v>
      </c>
      <c r="AD266" s="41">
        <v>40000</v>
      </c>
      <c r="AE266" s="1">
        <f t="shared" si="165"/>
        <v>0</v>
      </c>
      <c r="AF266" s="1">
        <f t="shared" si="166"/>
        <v>40000</v>
      </c>
    </row>
    <row r="267" spans="1:32">
      <c r="A267" s="11">
        <v>13000</v>
      </c>
      <c r="B267" s="19">
        <v>15100</v>
      </c>
      <c r="C267" s="19" t="s">
        <v>267</v>
      </c>
      <c r="D267" s="20">
        <v>12000</v>
      </c>
      <c r="E267" s="20">
        <v>8000</v>
      </c>
      <c r="F267" s="20">
        <f>D267-E267</f>
        <v>4000</v>
      </c>
      <c r="G267" s="20">
        <v>-4000</v>
      </c>
      <c r="H267" s="20">
        <f>D267+G267</f>
        <v>8000</v>
      </c>
      <c r="I267" s="21">
        <v>8000</v>
      </c>
      <c r="J267" s="21">
        <f>H267-I267</f>
        <v>0</v>
      </c>
      <c r="K267" s="21">
        <v>0</v>
      </c>
      <c r="L267" s="21">
        <f>H267+K267</f>
        <v>8000</v>
      </c>
      <c r="N267" s="1">
        <f>L267+M267</f>
        <v>8000</v>
      </c>
      <c r="O267" s="1">
        <v>8000</v>
      </c>
      <c r="P267" s="1">
        <f>O267-N267</f>
        <v>0</v>
      </c>
      <c r="Q267" s="1">
        <f>N267+P267</f>
        <v>8000</v>
      </c>
      <c r="R267" s="1">
        <v>8000</v>
      </c>
      <c r="S267" s="1">
        <f>R267-Q267</f>
        <v>0</v>
      </c>
      <c r="T267" s="1">
        <f>Q267+S267</f>
        <v>8000</v>
      </c>
      <c r="U267" s="1">
        <v>8000</v>
      </c>
      <c r="V267" s="1">
        <f>U267-T267</f>
        <v>0</v>
      </c>
      <c r="W267" s="1">
        <f>T267+V267</f>
        <v>8000</v>
      </c>
      <c r="X267" s="1">
        <v>8000</v>
      </c>
      <c r="Y267" s="41">
        <f>X267-W267</f>
        <v>0</v>
      </c>
      <c r="Z267" s="1">
        <f>W267+Y267</f>
        <v>8000</v>
      </c>
      <c r="AA267" s="1">
        <v>10000</v>
      </c>
      <c r="AB267" s="1">
        <f t="shared" si="161"/>
        <v>2000</v>
      </c>
      <c r="AC267" s="1">
        <f t="shared" si="162"/>
        <v>10000</v>
      </c>
      <c r="AD267" s="41">
        <v>0</v>
      </c>
      <c r="AE267" s="1">
        <f t="shared" si="165"/>
        <v>-10000</v>
      </c>
      <c r="AF267" s="1">
        <f t="shared" si="166"/>
        <v>0</v>
      </c>
    </row>
    <row r="268" spans="1:32">
      <c r="A268" s="11">
        <v>13200</v>
      </c>
      <c r="B268" s="19">
        <v>15100</v>
      </c>
      <c r="C268" s="19" t="s">
        <v>299</v>
      </c>
      <c r="D268" s="20">
        <v>40000</v>
      </c>
      <c r="E268" s="20">
        <v>45000</v>
      </c>
      <c r="F268" s="20">
        <f>D268-E268</f>
        <v>-5000</v>
      </c>
      <c r="G268" s="20">
        <v>5000</v>
      </c>
      <c r="H268" s="20">
        <f>D268+G268</f>
        <v>45000</v>
      </c>
      <c r="I268" s="21">
        <v>45000</v>
      </c>
      <c r="J268" s="21">
        <f>H268-I268</f>
        <v>0</v>
      </c>
      <c r="K268" s="21">
        <v>0</v>
      </c>
      <c r="L268" s="21">
        <f>H268+K268</f>
        <v>45000</v>
      </c>
      <c r="N268" s="1">
        <f>L268+M268</f>
        <v>45000</v>
      </c>
      <c r="O268" s="1">
        <v>45000</v>
      </c>
      <c r="P268" s="1">
        <f>O268-N268</f>
        <v>0</v>
      </c>
      <c r="Q268" s="1">
        <f>N268+P268</f>
        <v>45000</v>
      </c>
      <c r="R268" s="1">
        <v>45000</v>
      </c>
      <c r="S268" s="1">
        <f>R268-Q268</f>
        <v>0</v>
      </c>
      <c r="T268" s="1">
        <f>Q268+S268</f>
        <v>45000</v>
      </c>
      <c r="U268" s="1">
        <v>60000</v>
      </c>
      <c r="V268" s="1">
        <f>U268-T268</f>
        <v>15000</v>
      </c>
      <c r="W268" s="1">
        <f>T268+V268</f>
        <v>60000</v>
      </c>
      <c r="X268" s="1">
        <v>80000</v>
      </c>
      <c r="Y268" s="41">
        <f>X268-W268</f>
        <v>20000</v>
      </c>
      <c r="Z268" s="1">
        <f>W268+Y268</f>
        <v>80000</v>
      </c>
      <c r="AA268" s="1">
        <v>50000</v>
      </c>
      <c r="AB268" s="1">
        <f t="shared" si="161"/>
        <v>-30000</v>
      </c>
      <c r="AC268" s="1">
        <f t="shared" si="162"/>
        <v>50000</v>
      </c>
      <c r="AD268" s="41">
        <v>50000</v>
      </c>
      <c r="AE268" s="1">
        <f t="shared" si="165"/>
        <v>0</v>
      </c>
      <c r="AF268" s="1">
        <f t="shared" si="166"/>
        <v>50000</v>
      </c>
    </row>
    <row r="269" spans="1:32">
      <c r="A269" s="11">
        <v>13300</v>
      </c>
      <c r="B269" s="11">
        <v>15100</v>
      </c>
      <c r="C269" s="39" t="s">
        <v>838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47"/>
      <c r="R269" s="41"/>
      <c r="T269" s="1"/>
      <c r="V269" s="1"/>
      <c r="W269" s="1"/>
      <c r="X269" s="41"/>
      <c r="Y269" s="41"/>
      <c r="Z269" s="1">
        <v>0</v>
      </c>
      <c r="AA269" s="41">
        <v>5000</v>
      </c>
      <c r="AB269" s="41">
        <f t="shared" si="161"/>
        <v>5000</v>
      </c>
      <c r="AC269" s="1">
        <f t="shared" si="162"/>
        <v>5000</v>
      </c>
      <c r="AD269" s="41">
        <v>5000</v>
      </c>
      <c r="AE269" s="1">
        <f t="shared" si="165"/>
        <v>0</v>
      </c>
      <c r="AF269" s="1">
        <f t="shared" si="166"/>
        <v>5000</v>
      </c>
    </row>
    <row r="270" spans="1:32">
      <c r="A270" s="11">
        <v>15100</v>
      </c>
      <c r="B270" s="19">
        <v>15100</v>
      </c>
      <c r="C270" s="19" t="s">
        <v>71</v>
      </c>
      <c r="D270" s="20">
        <v>23235</v>
      </c>
      <c r="E270" s="20"/>
      <c r="F270" s="20">
        <f>D270-E270</f>
        <v>23235</v>
      </c>
      <c r="G270" s="20">
        <v>-5000</v>
      </c>
      <c r="H270" s="20">
        <f>D270+G270</f>
        <v>18235</v>
      </c>
      <c r="I270" s="21">
        <v>18235</v>
      </c>
      <c r="J270" s="21">
        <f>H270-I270</f>
        <v>0</v>
      </c>
      <c r="K270" s="21">
        <v>0</v>
      </c>
      <c r="L270" s="21">
        <f>H270+K270</f>
        <v>18235</v>
      </c>
      <c r="M270" s="7">
        <v>-12000</v>
      </c>
      <c r="N270" s="1">
        <f>L270+M270</f>
        <v>6235</v>
      </c>
      <c r="O270" s="1">
        <v>0</v>
      </c>
      <c r="P270" s="1">
        <f>O270-N270</f>
        <v>-6235</v>
      </c>
      <c r="Q270" s="1">
        <f>N270+P270</f>
        <v>0</v>
      </c>
      <c r="S270" s="1">
        <f>R270-Q270</f>
        <v>0</v>
      </c>
      <c r="T270" s="1">
        <f>Q270+S270</f>
        <v>0</v>
      </c>
      <c r="U270" s="1">
        <v>5000</v>
      </c>
      <c r="V270" s="1">
        <f>U270-T270</f>
        <v>5000</v>
      </c>
      <c r="W270" s="1">
        <f>T270+V270</f>
        <v>5000</v>
      </c>
      <c r="X270" s="1">
        <v>5000</v>
      </c>
      <c r="Y270" s="41">
        <f>X270-W270</f>
        <v>0</v>
      </c>
      <c r="Z270" s="1">
        <f>W270+Y270</f>
        <v>5000</v>
      </c>
      <c r="AA270" s="1">
        <v>18000</v>
      </c>
      <c r="AB270" s="1">
        <f t="shared" si="161"/>
        <v>13000</v>
      </c>
      <c r="AC270" s="1">
        <f t="shared" si="162"/>
        <v>18000</v>
      </c>
      <c r="AD270" s="41">
        <v>6000</v>
      </c>
      <c r="AE270" s="1">
        <f t="shared" si="165"/>
        <v>-12000</v>
      </c>
      <c r="AF270" s="1">
        <f t="shared" si="166"/>
        <v>6000</v>
      </c>
    </row>
    <row r="271" spans="1:32">
      <c r="A271" s="13">
        <v>16400</v>
      </c>
      <c r="B271" s="19">
        <v>15100</v>
      </c>
      <c r="C271" s="19" t="s">
        <v>412</v>
      </c>
      <c r="D271" s="20">
        <v>1300</v>
      </c>
      <c r="E271" s="20">
        <v>200</v>
      </c>
      <c r="F271" s="20">
        <f>D271-E271</f>
        <v>1100</v>
      </c>
      <c r="G271" s="20">
        <v>-1100</v>
      </c>
      <c r="H271" s="20">
        <f>D271+G271</f>
        <v>200</v>
      </c>
      <c r="I271" s="21">
        <v>200</v>
      </c>
      <c r="J271" s="21">
        <f>H271-I271</f>
        <v>0</v>
      </c>
      <c r="K271" s="22">
        <v>0</v>
      </c>
      <c r="L271" s="21">
        <f>H271+K271</f>
        <v>200</v>
      </c>
      <c r="N271" s="1">
        <f>L271+M271</f>
        <v>200</v>
      </c>
      <c r="O271" s="1">
        <v>666.67</v>
      </c>
      <c r="P271" s="1">
        <f>O271-N271</f>
        <v>466.66999999999996</v>
      </c>
      <c r="Q271" s="1">
        <f>N271+P271</f>
        <v>666.67</v>
      </c>
      <c r="R271" s="1">
        <v>650</v>
      </c>
      <c r="S271" s="1">
        <f>R271-Q271</f>
        <v>-16.669999999999959</v>
      </c>
      <c r="T271" s="1">
        <f>Q271+S271</f>
        <v>650</v>
      </c>
      <c r="U271" s="41">
        <v>650</v>
      </c>
      <c r="V271" s="1">
        <f>U271-T271</f>
        <v>0</v>
      </c>
      <c r="W271" s="1">
        <f>T271+V271</f>
        <v>650</v>
      </c>
      <c r="X271" s="1">
        <v>350</v>
      </c>
      <c r="Y271" s="41">
        <f>X271-W271</f>
        <v>-300</v>
      </c>
      <c r="Z271" s="1">
        <f>W271+Y271</f>
        <v>350</v>
      </c>
      <c r="AA271" s="41">
        <v>0</v>
      </c>
      <c r="AB271" s="1">
        <f t="shared" si="161"/>
        <v>-350</v>
      </c>
      <c r="AC271" s="1">
        <f t="shared" si="162"/>
        <v>0</v>
      </c>
      <c r="AD271" s="41">
        <v>0</v>
      </c>
      <c r="AE271" s="1">
        <f t="shared" si="165"/>
        <v>0</v>
      </c>
      <c r="AF271" s="1">
        <f t="shared" si="166"/>
        <v>0</v>
      </c>
    </row>
    <row r="272" spans="1:32">
      <c r="A272" s="13">
        <v>16500</v>
      </c>
      <c r="B272" s="19">
        <v>15100</v>
      </c>
      <c r="C272" s="19" t="s">
        <v>388</v>
      </c>
      <c r="D272" s="20">
        <v>8500</v>
      </c>
      <c r="E272" s="20">
        <v>2000</v>
      </c>
      <c r="F272" s="20">
        <f>D272-E272</f>
        <v>6500</v>
      </c>
      <c r="G272" s="20">
        <v>-6500</v>
      </c>
      <c r="H272" s="20">
        <f>D272+G272</f>
        <v>2000</v>
      </c>
      <c r="I272" s="21">
        <v>2000</v>
      </c>
      <c r="J272" s="22">
        <f>H272-I272</f>
        <v>0</v>
      </c>
      <c r="K272" s="21">
        <v>0</v>
      </c>
      <c r="L272" s="21">
        <f>H272+K272</f>
        <v>2000</v>
      </c>
      <c r="M272" s="7">
        <v>-1000</v>
      </c>
      <c r="N272" s="1">
        <f>L272+M272</f>
        <v>1000</v>
      </c>
      <c r="O272" s="1">
        <v>1000</v>
      </c>
      <c r="P272" s="1">
        <f>O272-N272</f>
        <v>0</v>
      </c>
      <c r="Q272" s="1">
        <f>N272+P272</f>
        <v>1000</v>
      </c>
      <c r="R272" s="1">
        <v>3000</v>
      </c>
      <c r="S272" s="1">
        <f>R272-Q272</f>
        <v>2000</v>
      </c>
      <c r="T272" s="1">
        <f>Q272+S272</f>
        <v>3000</v>
      </c>
      <c r="U272" s="1">
        <v>3000</v>
      </c>
      <c r="V272" s="1">
        <f>U272-T272</f>
        <v>0</v>
      </c>
      <c r="W272" s="1">
        <f>T272+V272</f>
        <v>3000</v>
      </c>
      <c r="X272" s="1">
        <v>3000</v>
      </c>
      <c r="Y272" s="41">
        <f>X272-W272</f>
        <v>0</v>
      </c>
      <c r="Z272" s="1">
        <f>W272+Y272</f>
        <v>3000</v>
      </c>
      <c r="AA272" s="41">
        <v>3300</v>
      </c>
      <c r="AB272" s="1">
        <f t="shared" si="161"/>
        <v>300</v>
      </c>
      <c r="AC272" s="1">
        <f t="shared" si="162"/>
        <v>3300</v>
      </c>
      <c r="AD272" s="41">
        <v>3300</v>
      </c>
      <c r="AE272" s="1">
        <f t="shared" si="165"/>
        <v>0</v>
      </c>
      <c r="AF272" s="1">
        <f t="shared" si="166"/>
        <v>3300</v>
      </c>
    </row>
    <row r="273" spans="1:32">
      <c r="A273" s="11">
        <v>17000</v>
      </c>
      <c r="B273" s="19">
        <v>15100</v>
      </c>
      <c r="C273" s="19" t="s">
        <v>388</v>
      </c>
      <c r="D273" s="7"/>
      <c r="E273" s="7"/>
      <c r="F273" s="7"/>
      <c r="G273" s="7"/>
      <c r="H273" s="7"/>
      <c r="I273" s="16"/>
      <c r="J273" s="1"/>
      <c r="K273" s="16"/>
      <c r="L273" s="1"/>
      <c r="N273" s="1"/>
      <c r="O273" s="1"/>
      <c r="R273" s="41"/>
      <c r="T273" s="1"/>
      <c r="V273" s="1"/>
      <c r="W273" s="1"/>
      <c r="Y273" s="41"/>
      <c r="Z273" s="1">
        <v>0</v>
      </c>
      <c r="AA273" s="41">
        <v>1700</v>
      </c>
      <c r="AB273" s="1">
        <f t="shared" si="161"/>
        <v>1700</v>
      </c>
      <c r="AC273" s="1">
        <f t="shared" si="162"/>
        <v>1700</v>
      </c>
      <c r="AD273" s="41">
        <v>1700</v>
      </c>
      <c r="AE273" s="1">
        <f t="shared" si="165"/>
        <v>0</v>
      </c>
      <c r="AF273" s="1">
        <f t="shared" si="166"/>
        <v>1700</v>
      </c>
    </row>
    <row r="274" spans="1:32">
      <c r="A274" s="13">
        <v>17100</v>
      </c>
      <c r="B274" s="19">
        <v>15100</v>
      </c>
      <c r="C274" s="19" t="s">
        <v>393</v>
      </c>
      <c r="D274" s="20">
        <v>3606.07</v>
      </c>
      <c r="E274" s="20">
        <v>1200</v>
      </c>
      <c r="F274" s="20">
        <f>D274-E274</f>
        <v>2406.0700000000002</v>
      </c>
      <c r="G274" s="20">
        <v>-2406.0700000000002</v>
      </c>
      <c r="H274" s="20">
        <f>D274+G274</f>
        <v>1200</v>
      </c>
      <c r="I274" s="22">
        <v>1200</v>
      </c>
      <c r="J274" s="22">
        <f>H274-I274</f>
        <v>0</v>
      </c>
      <c r="K274" s="22">
        <v>0</v>
      </c>
      <c r="L274" s="22">
        <f>H274+K274</f>
        <v>1200</v>
      </c>
      <c r="M274" s="7">
        <v>-1000</v>
      </c>
      <c r="N274" s="1">
        <f>L274+M274</f>
        <v>200</v>
      </c>
      <c r="O274" s="1">
        <v>900</v>
      </c>
      <c r="P274" s="1">
        <f>O274-N274</f>
        <v>700</v>
      </c>
      <c r="Q274" s="1">
        <f>N274+P274</f>
        <v>900</v>
      </c>
      <c r="R274" s="41">
        <v>300</v>
      </c>
      <c r="S274" s="1">
        <f>R274-Q274</f>
        <v>-600</v>
      </c>
      <c r="T274" s="1">
        <f>Q274+S274</f>
        <v>300</v>
      </c>
      <c r="U274" s="1">
        <v>300</v>
      </c>
      <c r="V274" s="1">
        <f>U274-T274</f>
        <v>0</v>
      </c>
      <c r="W274" s="1">
        <f>T274+V274</f>
        <v>300</v>
      </c>
      <c r="X274" s="1">
        <v>300</v>
      </c>
      <c r="Y274" s="41">
        <f>X274-W274</f>
        <v>0</v>
      </c>
      <c r="Z274" s="1">
        <f>W274+Y274</f>
        <v>300</v>
      </c>
      <c r="AA274" s="41">
        <v>0</v>
      </c>
      <c r="AB274" s="1">
        <f t="shared" si="161"/>
        <v>-300</v>
      </c>
      <c r="AC274" s="1">
        <f t="shared" si="162"/>
        <v>0</v>
      </c>
      <c r="AD274" s="41">
        <v>0</v>
      </c>
      <c r="AE274" s="1">
        <f t="shared" si="165"/>
        <v>0</v>
      </c>
      <c r="AF274" s="1">
        <f t="shared" si="166"/>
        <v>0</v>
      </c>
    </row>
    <row r="275" spans="1:32">
      <c r="A275" s="42">
        <v>23111</v>
      </c>
      <c r="B275" s="11">
        <v>15100</v>
      </c>
      <c r="C275" s="42" t="s">
        <v>853</v>
      </c>
      <c r="D275" s="7"/>
      <c r="E275" s="7"/>
      <c r="F275" s="7"/>
      <c r="G275" s="7"/>
      <c r="H275" s="7"/>
      <c r="I275" s="10"/>
      <c r="J275" s="10"/>
      <c r="K275" s="10"/>
      <c r="L275" s="7"/>
      <c r="M275" s="10"/>
      <c r="N275" s="7"/>
      <c r="O275" s="7"/>
      <c r="R275" s="41"/>
      <c r="T275" s="1"/>
      <c r="V275" s="1"/>
      <c r="W275" s="1"/>
      <c r="Y275" s="41"/>
      <c r="Z275" s="1">
        <v>0</v>
      </c>
      <c r="AA275" s="41">
        <v>500</v>
      </c>
      <c r="AB275" s="41">
        <f t="shared" si="161"/>
        <v>500</v>
      </c>
      <c r="AC275" s="1">
        <f t="shared" si="162"/>
        <v>500</v>
      </c>
      <c r="AD275" s="41">
        <v>500</v>
      </c>
      <c r="AE275" s="1">
        <f t="shared" si="165"/>
        <v>0</v>
      </c>
      <c r="AF275" s="1">
        <f t="shared" si="166"/>
        <v>500</v>
      </c>
    </row>
    <row r="276" spans="1:32">
      <c r="A276" s="42">
        <v>23113</v>
      </c>
      <c r="B276" s="19">
        <v>15100</v>
      </c>
      <c r="C276" s="19" t="s">
        <v>662</v>
      </c>
      <c r="D276" s="7"/>
      <c r="E276" s="7"/>
      <c r="F276" s="7"/>
      <c r="G276" s="7"/>
      <c r="H276" s="7"/>
      <c r="I276" s="7"/>
      <c r="J276" s="7"/>
      <c r="K276" s="7"/>
      <c r="L276" s="7"/>
      <c r="N276" s="7">
        <v>0</v>
      </c>
      <c r="O276" s="7">
        <v>5200</v>
      </c>
      <c r="P276" s="1">
        <f t="shared" ref="P276:P281" si="167">O276-N276</f>
        <v>5200</v>
      </c>
      <c r="Q276" s="1">
        <f t="shared" ref="Q276:Q281" si="168">N276+P276</f>
        <v>5200</v>
      </c>
      <c r="R276" s="41">
        <v>7000</v>
      </c>
      <c r="S276" s="1">
        <f t="shared" ref="S276:S281" si="169">R276-Q276</f>
        <v>1800</v>
      </c>
      <c r="T276" s="1">
        <f t="shared" ref="T276:T281" si="170">Q276+S276</f>
        <v>7000</v>
      </c>
      <c r="U276" s="41">
        <v>7000</v>
      </c>
      <c r="V276" s="1">
        <f t="shared" ref="V276:V281" si="171">U276-T276</f>
        <v>0</v>
      </c>
      <c r="W276" s="1">
        <f t="shared" ref="W276:W281" si="172">T276+V276</f>
        <v>7000</v>
      </c>
      <c r="X276" s="41">
        <v>7000</v>
      </c>
      <c r="Y276" s="41">
        <f t="shared" ref="Y276:Y281" si="173">X276-W276</f>
        <v>0</v>
      </c>
      <c r="Z276" s="1">
        <f t="shared" ref="Z276:Z281" si="174">W276+Y276</f>
        <v>7000</v>
      </c>
      <c r="AA276" s="41">
        <v>7000</v>
      </c>
      <c r="AB276" s="41">
        <f t="shared" si="161"/>
        <v>0</v>
      </c>
      <c r="AC276" s="1">
        <f t="shared" si="162"/>
        <v>7000</v>
      </c>
      <c r="AD276" s="41">
        <v>0</v>
      </c>
      <c r="AE276" s="1">
        <f t="shared" si="165"/>
        <v>-7000</v>
      </c>
      <c r="AF276" s="1">
        <f t="shared" si="166"/>
        <v>0</v>
      </c>
    </row>
    <row r="277" spans="1:32">
      <c r="A277" s="11">
        <v>32000</v>
      </c>
      <c r="B277" s="19">
        <v>15100</v>
      </c>
      <c r="C277" s="19" t="s">
        <v>362</v>
      </c>
      <c r="D277" s="20">
        <v>15000</v>
      </c>
      <c r="E277" s="20">
        <v>2000</v>
      </c>
      <c r="F277" s="20">
        <f>D277-E277</f>
        <v>13000</v>
      </c>
      <c r="G277" s="20">
        <v>-13000</v>
      </c>
      <c r="H277" s="20">
        <f>D277+G277</f>
        <v>2000</v>
      </c>
      <c r="I277" s="21">
        <v>2000</v>
      </c>
      <c r="J277" s="21">
        <f>H277-I277</f>
        <v>0</v>
      </c>
      <c r="K277" s="21">
        <v>0</v>
      </c>
      <c r="L277" s="21">
        <f>H277+K277</f>
        <v>2000</v>
      </c>
      <c r="M277" s="7">
        <v>5000</v>
      </c>
      <c r="N277" s="1">
        <f>L277+M277</f>
        <v>7000</v>
      </c>
      <c r="O277" s="1">
        <v>1250</v>
      </c>
      <c r="P277" s="1">
        <f t="shared" si="167"/>
        <v>-5750</v>
      </c>
      <c r="Q277" s="1">
        <f t="shared" si="168"/>
        <v>1250</v>
      </c>
      <c r="R277" s="41">
        <v>1250</v>
      </c>
      <c r="S277" s="1">
        <f t="shared" si="169"/>
        <v>0</v>
      </c>
      <c r="T277" s="1">
        <f t="shared" si="170"/>
        <v>1250</v>
      </c>
      <c r="U277" s="41">
        <v>1250</v>
      </c>
      <c r="V277" s="1">
        <f t="shared" si="171"/>
        <v>0</v>
      </c>
      <c r="W277" s="1">
        <f t="shared" si="172"/>
        <v>1250</v>
      </c>
      <c r="X277" s="41">
        <v>2500</v>
      </c>
      <c r="Y277" s="41">
        <f t="shared" si="173"/>
        <v>1250</v>
      </c>
      <c r="Z277" s="1">
        <f t="shared" si="174"/>
        <v>2500</v>
      </c>
      <c r="AA277" s="41">
        <v>14600</v>
      </c>
      <c r="AB277" s="41">
        <f t="shared" si="161"/>
        <v>12100</v>
      </c>
      <c r="AC277" s="1">
        <f t="shared" si="162"/>
        <v>14600</v>
      </c>
      <c r="AD277" s="41">
        <v>14600</v>
      </c>
      <c r="AE277" s="1">
        <f t="shared" si="165"/>
        <v>0</v>
      </c>
      <c r="AF277" s="1">
        <f t="shared" si="166"/>
        <v>14600</v>
      </c>
    </row>
    <row r="278" spans="1:32">
      <c r="A278" s="11">
        <v>33220</v>
      </c>
      <c r="B278" s="19">
        <v>15100</v>
      </c>
      <c r="C278" s="19" t="s">
        <v>537</v>
      </c>
      <c r="D278" s="20">
        <v>200</v>
      </c>
      <c r="E278" s="20"/>
      <c r="F278" s="20">
        <f>D278-E278</f>
        <v>200</v>
      </c>
      <c r="G278" s="20"/>
      <c r="H278" s="20">
        <f>D278+G278</f>
        <v>200</v>
      </c>
      <c r="I278" s="21">
        <v>200</v>
      </c>
      <c r="J278" s="21">
        <f>H278-I278</f>
        <v>0</v>
      </c>
      <c r="K278" s="21">
        <v>0</v>
      </c>
      <c r="L278" s="21">
        <f>H278+K278</f>
        <v>200</v>
      </c>
      <c r="M278" s="7">
        <v>1000</v>
      </c>
      <c r="N278" s="1">
        <f>L278+M278</f>
        <v>1200</v>
      </c>
      <c r="O278" s="1">
        <v>1200</v>
      </c>
      <c r="P278" s="1">
        <f t="shared" si="167"/>
        <v>0</v>
      </c>
      <c r="Q278" s="1">
        <f t="shared" si="168"/>
        <v>1200</v>
      </c>
      <c r="R278" s="1">
        <v>200</v>
      </c>
      <c r="S278" s="1">
        <f t="shared" si="169"/>
        <v>-1000</v>
      </c>
      <c r="T278" s="1">
        <f t="shared" si="170"/>
        <v>200</v>
      </c>
      <c r="U278" s="1">
        <v>200</v>
      </c>
      <c r="V278" s="1">
        <f t="shared" si="171"/>
        <v>0</v>
      </c>
      <c r="W278" s="1">
        <f t="shared" si="172"/>
        <v>200</v>
      </c>
      <c r="X278" s="1">
        <v>200</v>
      </c>
      <c r="Y278" s="41">
        <f t="shared" si="173"/>
        <v>0</v>
      </c>
      <c r="Z278" s="1">
        <f t="shared" si="174"/>
        <v>200</v>
      </c>
      <c r="AA278" s="1">
        <v>200</v>
      </c>
      <c r="AB278" s="41">
        <f t="shared" si="161"/>
        <v>0</v>
      </c>
      <c r="AC278" s="1">
        <f t="shared" si="162"/>
        <v>200</v>
      </c>
      <c r="AD278" s="41">
        <v>200</v>
      </c>
      <c r="AE278" s="1">
        <f t="shared" si="165"/>
        <v>0</v>
      </c>
      <c r="AF278" s="1">
        <f t="shared" si="166"/>
        <v>200</v>
      </c>
    </row>
    <row r="279" spans="1:32">
      <c r="A279" s="11">
        <v>33400</v>
      </c>
      <c r="B279" s="19">
        <v>15100</v>
      </c>
      <c r="C279" s="19" t="s">
        <v>420</v>
      </c>
      <c r="D279" s="20">
        <v>5500</v>
      </c>
      <c r="E279" s="20">
        <v>2000</v>
      </c>
      <c r="F279" s="20">
        <f>D279-E279</f>
        <v>3500</v>
      </c>
      <c r="G279" s="20">
        <v>-3500</v>
      </c>
      <c r="H279" s="20">
        <f>D279+G279</f>
        <v>2000</v>
      </c>
      <c r="I279" s="21">
        <v>2000</v>
      </c>
      <c r="J279" s="21">
        <f>H279-I279</f>
        <v>0</v>
      </c>
      <c r="K279" s="21">
        <v>0</v>
      </c>
      <c r="L279" s="21">
        <f>H279+K279</f>
        <v>2000</v>
      </c>
      <c r="M279" s="7">
        <v>-1000</v>
      </c>
      <c r="N279" s="1">
        <f>L279+M279</f>
        <v>1000</v>
      </c>
      <c r="O279" s="1"/>
      <c r="P279" s="1">
        <f t="shared" si="167"/>
        <v>-1000</v>
      </c>
      <c r="Q279" s="1">
        <f t="shared" si="168"/>
        <v>0</v>
      </c>
      <c r="S279" s="1">
        <f t="shared" si="169"/>
        <v>0</v>
      </c>
      <c r="T279" s="1">
        <f t="shared" si="170"/>
        <v>0</v>
      </c>
      <c r="V279" s="1">
        <f t="shared" si="171"/>
        <v>0</v>
      </c>
      <c r="W279" s="1">
        <f t="shared" si="172"/>
        <v>0</v>
      </c>
      <c r="X279" s="1">
        <v>0</v>
      </c>
      <c r="Y279" s="41">
        <f t="shared" si="173"/>
        <v>0</v>
      </c>
      <c r="Z279" s="1">
        <f t="shared" si="174"/>
        <v>0</v>
      </c>
      <c r="AA279" s="1">
        <v>0</v>
      </c>
      <c r="AB279" s="1">
        <f t="shared" si="161"/>
        <v>0</v>
      </c>
      <c r="AC279" s="1">
        <f t="shared" si="162"/>
        <v>0</v>
      </c>
      <c r="AD279" s="41">
        <v>0</v>
      </c>
      <c r="AE279" s="1">
        <f t="shared" si="165"/>
        <v>0</v>
      </c>
      <c r="AF279" s="1">
        <f t="shared" si="166"/>
        <v>0</v>
      </c>
    </row>
    <row r="280" spans="1:32">
      <c r="A280" s="11">
        <v>33600</v>
      </c>
      <c r="B280" s="19">
        <v>15100</v>
      </c>
      <c r="C280" s="19" t="s">
        <v>459</v>
      </c>
      <c r="D280" s="20">
        <v>2400</v>
      </c>
      <c r="E280" s="20">
        <v>1400</v>
      </c>
      <c r="F280" s="20">
        <f>D280-E280</f>
        <v>1000</v>
      </c>
      <c r="G280" s="20">
        <v>-1000</v>
      </c>
      <c r="H280" s="20">
        <f>D280+G280</f>
        <v>1400</v>
      </c>
      <c r="I280" s="21">
        <v>1400</v>
      </c>
      <c r="J280" s="21">
        <f>H280-I280</f>
        <v>0</v>
      </c>
      <c r="K280" s="21">
        <v>0</v>
      </c>
      <c r="L280" s="21">
        <f>H280+K280</f>
        <v>1400</v>
      </c>
      <c r="N280" s="1">
        <f>L280+M280</f>
        <v>1400</v>
      </c>
      <c r="O280" s="1">
        <v>750</v>
      </c>
      <c r="P280" s="1">
        <f t="shared" si="167"/>
        <v>-650</v>
      </c>
      <c r="Q280" s="1">
        <f t="shared" si="168"/>
        <v>750</v>
      </c>
      <c r="S280" s="1">
        <f t="shared" si="169"/>
        <v>-750</v>
      </c>
      <c r="T280" s="1">
        <f t="shared" si="170"/>
        <v>0</v>
      </c>
      <c r="V280" s="1">
        <f t="shared" si="171"/>
        <v>0</v>
      </c>
      <c r="W280" s="1">
        <f t="shared" si="172"/>
        <v>0</v>
      </c>
      <c r="X280" s="1">
        <v>0</v>
      </c>
      <c r="Y280" s="41">
        <f t="shared" si="173"/>
        <v>0</v>
      </c>
      <c r="Z280" s="1">
        <f t="shared" si="174"/>
        <v>0</v>
      </c>
      <c r="AA280" s="1">
        <v>1000</v>
      </c>
      <c r="AB280" s="1">
        <f t="shared" si="161"/>
        <v>1000</v>
      </c>
      <c r="AC280" s="1">
        <f t="shared" si="162"/>
        <v>1000</v>
      </c>
      <c r="AD280" s="41">
        <v>1000</v>
      </c>
      <c r="AE280" s="1">
        <f t="shared" si="165"/>
        <v>0</v>
      </c>
      <c r="AF280" s="1">
        <f t="shared" si="166"/>
        <v>1000</v>
      </c>
    </row>
    <row r="281" spans="1:32">
      <c r="A281" s="11">
        <v>33700</v>
      </c>
      <c r="B281" s="19">
        <v>15100</v>
      </c>
      <c r="C281" s="19" t="s">
        <v>488</v>
      </c>
      <c r="D281" s="20">
        <v>4500</v>
      </c>
      <c r="E281" s="20"/>
      <c r="F281" s="20">
        <f>D281-E281</f>
        <v>4500</v>
      </c>
      <c r="G281" s="20"/>
      <c r="H281" s="20">
        <f>D281+G281</f>
        <v>4500</v>
      </c>
      <c r="I281" s="21">
        <v>4500</v>
      </c>
      <c r="J281" s="21">
        <f>H281-I281</f>
        <v>0</v>
      </c>
      <c r="K281" s="21">
        <v>0</v>
      </c>
      <c r="L281" s="21">
        <f>H281+K281</f>
        <v>4500</v>
      </c>
      <c r="M281" s="7">
        <v>-3500</v>
      </c>
      <c r="N281" s="1">
        <f>L281+M281</f>
        <v>1000</v>
      </c>
      <c r="O281" s="1"/>
      <c r="P281" s="1">
        <f t="shared" si="167"/>
        <v>-1000</v>
      </c>
      <c r="Q281" s="1">
        <f t="shared" si="168"/>
        <v>0</v>
      </c>
      <c r="R281" s="1">
        <v>150</v>
      </c>
      <c r="S281" s="1">
        <f t="shared" si="169"/>
        <v>150</v>
      </c>
      <c r="T281" s="1">
        <f t="shared" si="170"/>
        <v>150</v>
      </c>
      <c r="U281" s="1">
        <f>R281+T281</f>
        <v>300</v>
      </c>
      <c r="V281" s="1">
        <f t="shared" si="171"/>
        <v>150</v>
      </c>
      <c r="W281" s="1">
        <f t="shared" si="172"/>
        <v>300</v>
      </c>
      <c r="X281" s="1">
        <v>300</v>
      </c>
      <c r="Y281" s="41">
        <f t="shared" si="173"/>
        <v>0</v>
      </c>
      <c r="Z281" s="1">
        <f t="shared" si="174"/>
        <v>300</v>
      </c>
      <c r="AA281" s="1">
        <v>500</v>
      </c>
      <c r="AB281" s="1">
        <f t="shared" si="161"/>
        <v>200</v>
      </c>
      <c r="AC281" s="1">
        <f t="shared" si="162"/>
        <v>500</v>
      </c>
      <c r="AD281" s="41">
        <v>500</v>
      </c>
      <c r="AE281" s="1">
        <f t="shared" si="165"/>
        <v>0</v>
      </c>
      <c r="AF281" s="1">
        <f t="shared" si="166"/>
        <v>500</v>
      </c>
    </row>
    <row r="282" spans="1:32">
      <c r="A282" s="11">
        <v>33710</v>
      </c>
      <c r="B282" s="11">
        <v>15100</v>
      </c>
      <c r="C282" s="39" t="s">
        <v>855</v>
      </c>
      <c r="D282" s="7"/>
      <c r="E282" s="7"/>
      <c r="F282" s="7"/>
      <c r="G282" s="7"/>
      <c r="H282" s="7"/>
      <c r="I282" s="7"/>
      <c r="J282" s="7"/>
      <c r="K282" s="7"/>
      <c r="L282" s="7"/>
      <c r="N282" s="7"/>
      <c r="O282" s="7"/>
      <c r="T282" s="1"/>
      <c r="V282" s="1"/>
      <c r="W282" s="1"/>
      <c r="Y282" s="41"/>
      <c r="Z282" s="1">
        <v>0</v>
      </c>
      <c r="AA282" s="1">
        <v>300</v>
      </c>
      <c r="AB282" s="1">
        <f t="shared" si="161"/>
        <v>300</v>
      </c>
      <c r="AC282" s="1">
        <f t="shared" si="162"/>
        <v>300</v>
      </c>
      <c r="AD282" s="41">
        <v>300</v>
      </c>
      <c r="AE282" s="1">
        <f t="shared" si="165"/>
        <v>0</v>
      </c>
      <c r="AF282" s="1">
        <f t="shared" si="166"/>
        <v>300</v>
      </c>
    </row>
    <row r="283" spans="1:32">
      <c r="A283" s="13">
        <v>33800</v>
      </c>
      <c r="B283" s="19">
        <v>15100</v>
      </c>
      <c r="C283" s="19" t="s">
        <v>538</v>
      </c>
      <c r="D283" s="20">
        <v>1200</v>
      </c>
      <c r="E283" s="20"/>
      <c r="F283" s="20">
        <f>D283-E283</f>
        <v>1200</v>
      </c>
      <c r="G283" s="20"/>
      <c r="H283" s="20">
        <f>D283+G283</f>
        <v>1200</v>
      </c>
      <c r="I283" s="21">
        <v>1200</v>
      </c>
      <c r="J283" s="22">
        <f>H283-I283</f>
        <v>0</v>
      </c>
      <c r="K283" s="21">
        <v>0</v>
      </c>
      <c r="L283" s="21">
        <f>H283+K283</f>
        <v>1200</v>
      </c>
      <c r="M283" s="10">
        <v>-1000</v>
      </c>
      <c r="N283" s="1">
        <f>L283+M283</f>
        <v>200</v>
      </c>
      <c r="O283" s="1"/>
      <c r="P283" s="1">
        <f>O283-N283</f>
        <v>-200</v>
      </c>
      <c r="Q283" s="1">
        <f>N283+P283</f>
        <v>0</v>
      </c>
      <c r="S283" s="1">
        <f>R283-Q283</f>
        <v>0</v>
      </c>
      <c r="T283" s="1">
        <f>Q283+S283</f>
        <v>0</v>
      </c>
      <c r="V283" s="1">
        <f t="shared" ref="V283:V293" si="175">U283-T283</f>
        <v>0</v>
      </c>
      <c r="W283" s="1">
        <f t="shared" ref="W283:W293" si="176">T283+V283</f>
        <v>0</v>
      </c>
      <c r="X283" s="1">
        <v>0</v>
      </c>
      <c r="Y283" s="41">
        <f t="shared" ref="Y283:Y293" si="177">X283-W283</f>
        <v>0</v>
      </c>
      <c r="Z283" s="1">
        <f t="shared" ref="Z283:Z293" si="178">W283+Y283</f>
        <v>0</v>
      </c>
      <c r="AA283" s="1">
        <v>4000</v>
      </c>
      <c r="AB283" s="1">
        <f t="shared" si="161"/>
        <v>4000</v>
      </c>
      <c r="AC283" s="1">
        <f t="shared" si="162"/>
        <v>4000</v>
      </c>
      <c r="AD283" s="41">
        <v>4000</v>
      </c>
      <c r="AE283" s="1">
        <f t="shared" si="165"/>
        <v>0</v>
      </c>
      <c r="AF283" s="1">
        <f t="shared" si="166"/>
        <v>4000</v>
      </c>
    </row>
    <row r="284" spans="1:32">
      <c r="A284" s="11">
        <v>34000</v>
      </c>
      <c r="B284" s="19">
        <v>15100</v>
      </c>
      <c r="C284" s="19" t="s">
        <v>439</v>
      </c>
      <c r="D284" s="20">
        <v>8300</v>
      </c>
      <c r="E284" s="20">
        <v>5000</v>
      </c>
      <c r="F284" s="20">
        <f>D284-E284</f>
        <v>3300</v>
      </c>
      <c r="G284" s="20">
        <v>-3300</v>
      </c>
      <c r="H284" s="20">
        <f>D284+G284</f>
        <v>5000</v>
      </c>
      <c r="I284" s="21">
        <v>5000</v>
      </c>
      <c r="J284" s="21">
        <f>H284-I284</f>
        <v>0</v>
      </c>
      <c r="K284" s="21">
        <v>0</v>
      </c>
      <c r="L284" s="21">
        <f>H284+K284</f>
        <v>5000</v>
      </c>
      <c r="M284" s="7">
        <v>-3000</v>
      </c>
      <c r="N284" s="1">
        <f>L284+M284</f>
        <v>2000</v>
      </c>
      <c r="O284" s="1">
        <v>2000</v>
      </c>
      <c r="P284" s="1">
        <f>O284-N284</f>
        <v>0</v>
      </c>
      <c r="Q284" s="1">
        <f>N284+P284</f>
        <v>2000</v>
      </c>
      <c r="R284" s="1">
        <v>2000</v>
      </c>
      <c r="S284" s="1">
        <f>R284-Q284</f>
        <v>0</v>
      </c>
      <c r="T284" s="1">
        <f>Q284+S284</f>
        <v>2000</v>
      </c>
      <c r="U284" s="1">
        <v>2000</v>
      </c>
      <c r="V284" s="1">
        <f t="shared" si="175"/>
        <v>0</v>
      </c>
      <c r="W284" s="1">
        <f t="shared" si="176"/>
        <v>2000</v>
      </c>
      <c r="X284" s="1">
        <v>2000</v>
      </c>
      <c r="Y284" s="41">
        <f t="shared" si="177"/>
        <v>0</v>
      </c>
      <c r="Z284" s="1">
        <f t="shared" si="178"/>
        <v>2000</v>
      </c>
      <c r="AA284" s="1">
        <v>2000</v>
      </c>
      <c r="AB284" s="1">
        <f t="shared" si="161"/>
        <v>0</v>
      </c>
      <c r="AC284" s="1">
        <f t="shared" si="162"/>
        <v>2000</v>
      </c>
      <c r="AD284" s="41">
        <v>2000</v>
      </c>
      <c r="AE284" s="1">
        <f t="shared" si="165"/>
        <v>0</v>
      </c>
      <c r="AF284" s="1">
        <f t="shared" si="166"/>
        <v>2000</v>
      </c>
    </row>
    <row r="285" spans="1:32">
      <c r="A285" s="13">
        <v>43200</v>
      </c>
      <c r="B285" s="19">
        <v>15100</v>
      </c>
      <c r="C285" s="19" t="s">
        <v>513</v>
      </c>
      <c r="D285" s="20">
        <v>9500</v>
      </c>
      <c r="E285" s="20">
        <v>4000</v>
      </c>
      <c r="F285" s="20">
        <f>D285-E285</f>
        <v>5500</v>
      </c>
      <c r="G285" s="20">
        <v>-5500</v>
      </c>
      <c r="H285" s="20">
        <f>D285+G285</f>
        <v>4000</v>
      </c>
      <c r="I285" s="21">
        <v>4000</v>
      </c>
      <c r="J285" s="21">
        <f>H285-I285</f>
        <v>0</v>
      </c>
      <c r="K285" s="21">
        <v>0</v>
      </c>
      <c r="L285" s="21">
        <f>H285+K285</f>
        <v>4000</v>
      </c>
      <c r="M285" s="7">
        <v>-4000</v>
      </c>
      <c r="N285" s="1">
        <f>L285+M285</f>
        <v>0</v>
      </c>
      <c r="O285" s="1">
        <v>1000</v>
      </c>
      <c r="P285" s="1">
        <f>O285-N285</f>
        <v>1000</v>
      </c>
      <c r="Q285" s="1">
        <f>N285+P285</f>
        <v>1000</v>
      </c>
      <c r="S285" s="1">
        <f>R285-Q285</f>
        <v>-1000</v>
      </c>
      <c r="T285" s="1">
        <f>Q285+S285</f>
        <v>0</v>
      </c>
      <c r="U285" s="1">
        <v>0</v>
      </c>
      <c r="V285" s="1">
        <f t="shared" si="175"/>
        <v>0</v>
      </c>
      <c r="W285" s="1">
        <f t="shared" si="176"/>
        <v>0</v>
      </c>
      <c r="X285" s="1">
        <v>300</v>
      </c>
      <c r="Y285" s="41">
        <f t="shared" si="177"/>
        <v>300</v>
      </c>
      <c r="Z285" s="1">
        <f t="shared" si="178"/>
        <v>300</v>
      </c>
      <c r="AA285" s="1">
        <v>300</v>
      </c>
      <c r="AB285" s="41">
        <f t="shared" si="161"/>
        <v>0</v>
      </c>
      <c r="AC285" s="1">
        <f t="shared" si="162"/>
        <v>300</v>
      </c>
      <c r="AD285" s="41">
        <v>300</v>
      </c>
      <c r="AE285" s="1">
        <f t="shared" si="165"/>
        <v>0</v>
      </c>
      <c r="AF285" s="1">
        <f t="shared" si="166"/>
        <v>300</v>
      </c>
    </row>
    <row r="286" spans="1:32">
      <c r="A286" s="11">
        <v>45900</v>
      </c>
      <c r="B286" s="19">
        <v>15100</v>
      </c>
      <c r="C286" s="19" t="s">
        <v>166</v>
      </c>
      <c r="D286" s="20">
        <v>25000</v>
      </c>
      <c r="E286" s="20">
        <v>3000</v>
      </c>
      <c r="F286" s="20">
        <f>D286-E286</f>
        <v>22000</v>
      </c>
      <c r="G286" s="20">
        <v>-22000</v>
      </c>
      <c r="H286" s="20">
        <f>D286+G286</f>
        <v>3000</v>
      </c>
      <c r="I286" s="21">
        <v>3000</v>
      </c>
      <c r="J286" s="21">
        <f>H286-I286</f>
        <v>0</v>
      </c>
      <c r="K286" s="21">
        <v>0</v>
      </c>
      <c r="L286" s="21">
        <f>H286+K286</f>
        <v>3000</v>
      </c>
      <c r="M286" s="7">
        <v>-1000</v>
      </c>
      <c r="N286" s="1">
        <f>L286+M286</f>
        <v>2000</v>
      </c>
      <c r="O286" s="1">
        <v>2000</v>
      </c>
      <c r="P286" s="1">
        <f>O286-N286</f>
        <v>0</v>
      </c>
      <c r="Q286" s="1">
        <f>N286+P286</f>
        <v>2000</v>
      </c>
      <c r="R286" s="41"/>
      <c r="S286" s="1">
        <f>R286-Q286</f>
        <v>-2000</v>
      </c>
      <c r="T286" s="1">
        <f>Q286+S286</f>
        <v>0</v>
      </c>
      <c r="V286" s="1">
        <f t="shared" si="175"/>
        <v>0</v>
      </c>
      <c r="W286" s="1">
        <f t="shared" si="176"/>
        <v>0</v>
      </c>
      <c r="X286" s="1">
        <v>3000</v>
      </c>
      <c r="Y286" s="41">
        <f t="shared" si="177"/>
        <v>3000</v>
      </c>
      <c r="Z286" s="1">
        <f t="shared" si="178"/>
        <v>3000</v>
      </c>
      <c r="AA286" s="41">
        <v>4000</v>
      </c>
      <c r="AB286" s="41">
        <f t="shared" si="161"/>
        <v>1000</v>
      </c>
      <c r="AC286" s="1">
        <f t="shared" si="162"/>
        <v>4000</v>
      </c>
      <c r="AD286" s="41">
        <v>4000</v>
      </c>
      <c r="AE286" s="1">
        <f t="shared" si="165"/>
        <v>0</v>
      </c>
      <c r="AF286" s="1">
        <f t="shared" si="166"/>
        <v>4000</v>
      </c>
    </row>
    <row r="287" spans="1:32">
      <c r="A287" s="11">
        <v>91210</v>
      </c>
      <c r="B287" s="19">
        <v>15100</v>
      </c>
      <c r="C287" s="19" t="s">
        <v>388</v>
      </c>
      <c r="D287" s="20">
        <v>100</v>
      </c>
      <c r="E287" s="20"/>
      <c r="F287" s="20">
        <f>D287-E287</f>
        <v>100</v>
      </c>
      <c r="G287" s="20"/>
      <c r="H287" s="20">
        <f>D287+G287</f>
        <v>100</v>
      </c>
      <c r="I287" s="20">
        <v>100</v>
      </c>
      <c r="J287" s="20">
        <f>H287-I287</f>
        <v>0</v>
      </c>
      <c r="K287" s="20">
        <v>0</v>
      </c>
      <c r="L287" s="7">
        <v>100</v>
      </c>
      <c r="M287" s="7">
        <v>0</v>
      </c>
      <c r="N287" s="7">
        <f>L287+M287</f>
        <v>100</v>
      </c>
      <c r="O287" s="7"/>
      <c r="P287" s="1">
        <f>O287-N287</f>
        <v>-100</v>
      </c>
      <c r="Q287" s="1">
        <f>N287+P287</f>
        <v>0</v>
      </c>
      <c r="S287" s="1">
        <f>R287-Q287</f>
        <v>0</v>
      </c>
      <c r="T287" s="1">
        <f>Q287+S287</f>
        <v>0</v>
      </c>
      <c r="V287" s="1">
        <f t="shared" si="175"/>
        <v>0</v>
      </c>
      <c r="W287" s="1">
        <f t="shared" si="176"/>
        <v>0</v>
      </c>
      <c r="X287" s="1">
        <v>0</v>
      </c>
      <c r="Y287" s="41">
        <f t="shared" si="177"/>
        <v>0</v>
      </c>
      <c r="Z287" s="1">
        <f t="shared" si="178"/>
        <v>0</v>
      </c>
      <c r="AA287" s="1">
        <v>200</v>
      </c>
      <c r="AB287" s="1">
        <f t="shared" si="161"/>
        <v>200</v>
      </c>
      <c r="AC287" s="1">
        <f t="shared" si="162"/>
        <v>200</v>
      </c>
      <c r="AD287" s="41">
        <v>200</v>
      </c>
      <c r="AE287" s="1">
        <f t="shared" si="165"/>
        <v>0</v>
      </c>
      <c r="AF287" s="1">
        <f t="shared" si="166"/>
        <v>200</v>
      </c>
    </row>
    <row r="288" spans="1:32">
      <c r="A288" s="42">
        <v>13000</v>
      </c>
      <c r="B288" s="56">
        <v>16000</v>
      </c>
      <c r="C288" s="56" t="s">
        <v>738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8"/>
      <c r="N288" s="58"/>
      <c r="O288" s="58"/>
      <c r="P288" s="58"/>
      <c r="Q288" s="58"/>
      <c r="R288" s="58"/>
      <c r="S288" s="58"/>
      <c r="T288" s="58">
        <v>0</v>
      </c>
      <c r="U288" s="58">
        <v>0</v>
      </c>
      <c r="V288" s="58">
        <f t="shared" si="175"/>
        <v>0</v>
      </c>
      <c r="W288" s="58">
        <f t="shared" si="176"/>
        <v>0</v>
      </c>
      <c r="X288" s="1">
        <v>0</v>
      </c>
      <c r="Y288" s="41">
        <f t="shared" si="177"/>
        <v>0</v>
      </c>
      <c r="Z288" s="1">
        <f t="shared" si="178"/>
        <v>0</v>
      </c>
      <c r="AA288" s="1">
        <v>0</v>
      </c>
      <c r="AB288" s="1">
        <f t="shared" si="161"/>
        <v>0</v>
      </c>
      <c r="AC288" s="1">
        <f t="shared" si="162"/>
        <v>0</v>
      </c>
      <c r="AD288" s="41">
        <v>152564.49</v>
      </c>
      <c r="AE288" s="1">
        <f t="shared" si="165"/>
        <v>152564.49</v>
      </c>
      <c r="AF288" s="1">
        <f t="shared" si="166"/>
        <v>152564.49</v>
      </c>
    </row>
    <row r="289" spans="1:32">
      <c r="A289" s="11">
        <v>13200</v>
      </c>
      <c r="B289" s="60">
        <v>16000</v>
      </c>
      <c r="C289" s="61" t="s">
        <v>742</v>
      </c>
      <c r="D289" s="62"/>
      <c r="E289" s="62"/>
      <c r="F289" s="62"/>
      <c r="G289" s="62"/>
      <c r="H289" s="62"/>
      <c r="I289" s="62"/>
      <c r="J289" s="62"/>
      <c r="K289" s="62"/>
      <c r="L289" s="62"/>
      <c r="M289" s="53"/>
      <c r="N289" s="53"/>
      <c r="O289" s="53"/>
      <c r="P289" s="53"/>
      <c r="Q289" s="53"/>
      <c r="R289" s="53"/>
      <c r="S289" s="53"/>
      <c r="T289" s="53">
        <v>0</v>
      </c>
      <c r="U289" s="53">
        <v>0</v>
      </c>
      <c r="V289" s="53">
        <f t="shared" si="175"/>
        <v>0</v>
      </c>
      <c r="W289" s="53">
        <f t="shared" si="176"/>
        <v>0</v>
      </c>
      <c r="X289" s="1">
        <v>0</v>
      </c>
      <c r="Y289" s="41">
        <f t="shared" si="177"/>
        <v>0</v>
      </c>
      <c r="Z289" s="1">
        <f t="shared" si="178"/>
        <v>0</v>
      </c>
      <c r="AA289" s="1">
        <v>0</v>
      </c>
      <c r="AB289" s="1">
        <f t="shared" si="161"/>
        <v>0</v>
      </c>
      <c r="AC289" s="1">
        <f t="shared" si="162"/>
        <v>0</v>
      </c>
      <c r="AD289" s="41">
        <v>990079.89</v>
      </c>
      <c r="AE289" s="1">
        <f t="shared" si="165"/>
        <v>990079.89</v>
      </c>
      <c r="AF289" s="1">
        <f t="shared" si="166"/>
        <v>990079.89</v>
      </c>
    </row>
    <row r="290" spans="1:32">
      <c r="A290" s="11">
        <v>13300</v>
      </c>
      <c r="B290" s="60">
        <v>16000</v>
      </c>
      <c r="C290" s="56" t="s">
        <v>779</v>
      </c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>
        <v>0</v>
      </c>
      <c r="U290" s="53">
        <v>0</v>
      </c>
      <c r="V290" s="53">
        <f t="shared" si="175"/>
        <v>0</v>
      </c>
      <c r="W290" s="53">
        <f t="shared" si="176"/>
        <v>0</v>
      </c>
      <c r="X290" s="41">
        <v>0</v>
      </c>
      <c r="Y290" s="41">
        <f t="shared" si="177"/>
        <v>0</v>
      </c>
      <c r="Z290" s="1">
        <f t="shared" si="178"/>
        <v>0</v>
      </c>
      <c r="AA290" s="41">
        <v>0</v>
      </c>
      <c r="AB290" s="41">
        <f t="shared" si="161"/>
        <v>0</v>
      </c>
      <c r="AC290" s="1">
        <f t="shared" si="162"/>
        <v>0</v>
      </c>
      <c r="AD290" s="41">
        <v>40570.94</v>
      </c>
      <c r="AE290" s="1">
        <f t="shared" si="165"/>
        <v>40570.94</v>
      </c>
      <c r="AF290" s="1">
        <f t="shared" si="166"/>
        <v>40570.94</v>
      </c>
    </row>
    <row r="291" spans="1:32">
      <c r="A291" s="11">
        <v>15100</v>
      </c>
      <c r="B291" s="60">
        <v>16000</v>
      </c>
      <c r="C291" s="56" t="s">
        <v>743</v>
      </c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>
        <v>0</v>
      </c>
      <c r="U291" s="53">
        <v>0</v>
      </c>
      <c r="V291" s="53">
        <f t="shared" si="175"/>
        <v>0</v>
      </c>
      <c r="W291" s="53">
        <f t="shared" si="176"/>
        <v>0</v>
      </c>
      <c r="X291" s="1">
        <v>0</v>
      </c>
      <c r="Y291" s="41">
        <f t="shared" si="177"/>
        <v>0</v>
      </c>
      <c r="Z291" s="1">
        <f t="shared" si="178"/>
        <v>0</v>
      </c>
      <c r="AA291" s="1">
        <v>0</v>
      </c>
      <c r="AB291" s="1">
        <f t="shared" si="161"/>
        <v>0</v>
      </c>
      <c r="AC291" s="1">
        <f t="shared" si="162"/>
        <v>0</v>
      </c>
      <c r="AD291" s="41">
        <v>242980.47</v>
      </c>
      <c r="AE291" s="1">
        <f t="shared" si="165"/>
        <v>242980.47</v>
      </c>
      <c r="AF291" s="1">
        <f t="shared" si="166"/>
        <v>242980.47</v>
      </c>
    </row>
    <row r="292" spans="1:32">
      <c r="A292" s="13">
        <v>16400</v>
      </c>
      <c r="B292" s="60">
        <v>16000</v>
      </c>
      <c r="C292" s="56" t="s">
        <v>744</v>
      </c>
      <c r="D292" s="62"/>
      <c r="E292" s="64"/>
      <c r="F292" s="62"/>
      <c r="G292" s="64"/>
      <c r="H292" s="62"/>
      <c r="I292" s="64"/>
      <c r="J292" s="62"/>
      <c r="K292" s="64"/>
      <c r="L292" s="62"/>
      <c r="M292" s="63"/>
      <c r="N292" s="53"/>
      <c r="O292" s="53"/>
      <c r="P292" s="53"/>
      <c r="Q292" s="53"/>
      <c r="R292" s="58"/>
      <c r="S292" s="53"/>
      <c r="T292" s="53">
        <f>Q292+S292</f>
        <v>0</v>
      </c>
      <c r="U292" s="63"/>
      <c r="V292" s="53">
        <f t="shared" si="175"/>
        <v>0</v>
      </c>
      <c r="W292" s="53">
        <f t="shared" si="176"/>
        <v>0</v>
      </c>
      <c r="X292" s="1">
        <v>0</v>
      </c>
      <c r="Y292" s="41">
        <f t="shared" si="177"/>
        <v>0</v>
      </c>
      <c r="Z292" s="1">
        <f t="shared" si="178"/>
        <v>0</v>
      </c>
      <c r="AA292" s="41">
        <v>0</v>
      </c>
      <c r="AB292" s="1">
        <f t="shared" si="161"/>
        <v>0</v>
      </c>
      <c r="AC292" s="1">
        <f t="shared" si="162"/>
        <v>0</v>
      </c>
      <c r="AD292" s="41">
        <v>26947.49</v>
      </c>
      <c r="AE292" s="1">
        <f t="shared" si="165"/>
        <v>26947.49</v>
      </c>
      <c r="AF292" s="1">
        <f t="shared" si="166"/>
        <v>26947.49</v>
      </c>
    </row>
    <row r="293" spans="1:32">
      <c r="A293" s="13">
        <v>16500</v>
      </c>
      <c r="B293" s="60">
        <v>16000</v>
      </c>
      <c r="C293" s="56" t="s">
        <v>745</v>
      </c>
      <c r="D293" s="62"/>
      <c r="E293" s="64"/>
      <c r="F293" s="62"/>
      <c r="G293" s="64"/>
      <c r="H293" s="62"/>
      <c r="I293" s="64"/>
      <c r="J293" s="62"/>
      <c r="K293" s="64"/>
      <c r="L293" s="62"/>
      <c r="M293" s="63"/>
      <c r="N293" s="53"/>
      <c r="O293" s="53"/>
      <c r="P293" s="53"/>
      <c r="Q293" s="53"/>
      <c r="R293" s="58"/>
      <c r="S293" s="53"/>
      <c r="T293" s="53">
        <f>Q293+S293</f>
        <v>0</v>
      </c>
      <c r="U293" s="63"/>
      <c r="V293" s="53">
        <f t="shared" si="175"/>
        <v>0</v>
      </c>
      <c r="W293" s="53">
        <f t="shared" si="176"/>
        <v>0</v>
      </c>
      <c r="X293" s="1">
        <v>0</v>
      </c>
      <c r="Y293" s="41">
        <f t="shared" si="177"/>
        <v>0</v>
      </c>
      <c r="Z293" s="1">
        <f t="shared" si="178"/>
        <v>0</v>
      </c>
      <c r="AA293" s="41">
        <v>0</v>
      </c>
      <c r="AB293" s="1">
        <f t="shared" si="161"/>
        <v>0</v>
      </c>
      <c r="AC293" s="1">
        <f t="shared" si="162"/>
        <v>0</v>
      </c>
      <c r="AD293" s="41">
        <v>44884.86</v>
      </c>
      <c r="AE293" s="1">
        <f t="shared" si="165"/>
        <v>44884.86</v>
      </c>
      <c r="AF293" s="1">
        <f t="shared" si="166"/>
        <v>44884.86</v>
      </c>
    </row>
    <row r="294" spans="1:32">
      <c r="A294" s="11">
        <v>17000</v>
      </c>
      <c r="B294" s="60">
        <v>16000</v>
      </c>
      <c r="C294" s="56" t="s">
        <v>943</v>
      </c>
      <c r="D294" s="7"/>
      <c r="E294" s="7"/>
      <c r="F294" s="7"/>
      <c r="G294" s="7"/>
      <c r="H294" s="7"/>
      <c r="I294" s="16"/>
      <c r="J294" s="1"/>
      <c r="K294" s="16"/>
      <c r="L294" s="1"/>
      <c r="N294" s="1"/>
      <c r="O294" s="1"/>
      <c r="R294" s="41"/>
      <c r="T294" s="1"/>
      <c r="V294" s="1"/>
      <c r="W294" s="1"/>
      <c r="Y294" s="41"/>
      <c r="Z294" s="1"/>
      <c r="AA294" s="41"/>
      <c r="AB294" s="1"/>
      <c r="AC294" s="1">
        <v>0</v>
      </c>
      <c r="AD294" s="41">
        <v>147591.39000000001</v>
      </c>
      <c r="AE294" s="1">
        <f t="shared" si="165"/>
        <v>147591.39000000001</v>
      </c>
      <c r="AF294" s="1">
        <f t="shared" si="166"/>
        <v>147591.39000000001</v>
      </c>
    </row>
    <row r="295" spans="1:32">
      <c r="A295" s="13">
        <v>17100</v>
      </c>
      <c r="B295" s="60">
        <v>16000</v>
      </c>
      <c r="C295" s="56" t="s">
        <v>746</v>
      </c>
      <c r="D295" s="62"/>
      <c r="E295" s="64"/>
      <c r="F295" s="62"/>
      <c r="G295" s="64"/>
      <c r="H295" s="62"/>
      <c r="I295" s="64"/>
      <c r="J295" s="62"/>
      <c r="K295" s="64"/>
      <c r="L295" s="62"/>
      <c r="M295" s="63"/>
      <c r="N295" s="53"/>
      <c r="O295" s="53"/>
      <c r="P295" s="53"/>
      <c r="Q295" s="53"/>
      <c r="R295" s="58"/>
      <c r="S295" s="53"/>
      <c r="T295" s="53">
        <f t="shared" ref="T295:T303" si="179">Q295+S295</f>
        <v>0</v>
      </c>
      <c r="U295" s="63"/>
      <c r="V295" s="53">
        <f t="shared" ref="V295:V308" si="180">U295-T295</f>
        <v>0</v>
      </c>
      <c r="W295" s="53">
        <f t="shared" ref="W295:W308" si="181">T295+V295</f>
        <v>0</v>
      </c>
      <c r="X295" s="1">
        <v>0</v>
      </c>
      <c r="Y295" s="41">
        <f t="shared" ref="Y295:Y308" si="182">X295-W295</f>
        <v>0</v>
      </c>
      <c r="Z295" s="1">
        <f t="shared" ref="Z295:Z308" si="183">W295+Y295</f>
        <v>0</v>
      </c>
      <c r="AA295" s="41">
        <v>0</v>
      </c>
      <c r="AB295" s="1">
        <f t="shared" ref="AB295:AB319" si="184">AA295-Z295</f>
        <v>0</v>
      </c>
      <c r="AC295" s="1">
        <f t="shared" ref="AC295:AC319" si="185">Z295+AB295</f>
        <v>0</v>
      </c>
      <c r="AD295" s="41">
        <v>173600.22</v>
      </c>
      <c r="AE295" s="1">
        <f t="shared" si="165"/>
        <v>173600.22</v>
      </c>
      <c r="AF295" s="1">
        <f t="shared" si="166"/>
        <v>173600.22</v>
      </c>
    </row>
    <row r="296" spans="1:32">
      <c r="A296" s="13">
        <v>23110</v>
      </c>
      <c r="B296" s="60">
        <v>16000</v>
      </c>
      <c r="C296" s="56" t="s">
        <v>747</v>
      </c>
      <c r="D296" s="62"/>
      <c r="E296" s="64"/>
      <c r="F296" s="62"/>
      <c r="G296" s="64"/>
      <c r="H296" s="62"/>
      <c r="I296" s="64"/>
      <c r="J296" s="62"/>
      <c r="K296" s="64"/>
      <c r="L296" s="62"/>
      <c r="M296" s="63"/>
      <c r="N296" s="53"/>
      <c r="O296" s="53"/>
      <c r="P296" s="53"/>
      <c r="Q296" s="53"/>
      <c r="R296" s="58"/>
      <c r="S296" s="53"/>
      <c r="T296" s="53">
        <f t="shared" si="179"/>
        <v>0</v>
      </c>
      <c r="U296" s="63"/>
      <c r="V296" s="53">
        <f t="shared" si="180"/>
        <v>0</v>
      </c>
      <c r="W296" s="53">
        <f t="shared" si="181"/>
        <v>0</v>
      </c>
      <c r="X296" s="41">
        <v>0</v>
      </c>
      <c r="Y296" s="41">
        <f t="shared" si="182"/>
        <v>0</v>
      </c>
      <c r="Z296" s="1">
        <f t="shared" si="183"/>
        <v>0</v>
      </c>
      <c r="AA296" s="41">
        <v>0</v>
      </c>
      <c r="AB296" s="41">
        <f t="shared" si="184"/>
        <v>0</v>
      </c>
      <c r="AC296" s="1">
        <f t="shared" si="185"/>
        <v>0</v>
      </c>
      <c r="AD296" s="41">
        <v>182737.69</v>
      </c>
      <c r="AE296" s="1">
        <f t="shared" si="165"/>
        <v>182737.69</v>
      </c>
      <c r="AF296" s="1">
        <f t="shared" si="166"/>
        <v>182737.69</v>
      </c>
    </row>
    <row r="297" spans="1:32">
      <c r="A297" s="13">
        <v>23111</v>
      </c>
      <c r="B297" s="60">
        <v>16000</v>
      </c>
      <c r="C297" s="56" t="s">
        <v>748</v>
      </c>
      <c r="D297" s="62"/>
      <c r="E297" s="64"/>
      <c r="F297" s="62"/>
      <c r="G297" s="64"/>
      <c r="H297" s="62"/>
      <c r="I297" s="64"/>
      <c r="J297" s="62"/>
      <c r="K297" s="64"/>
      <c r="L297" s="62"/>
      <c r="M297" s="63"/>
      <c r="N297" s="53"/>
      <c r="O297" s="53"/>
      <c r="P297" s="53"/>
      <c r="Q297" s="53"/>
      <c r="R297" s="58"/>
      <c r="S297" s="53"/>
      <c r="T297" s="53">
        <f t="shared" si="179"/>
        <v>0</v>
      </c>
      <c r="U297" s="63"/>
      <c r="V297" s="53">
        <f t="shared" si="180"/>
        <v>0</v>
      </c>
      <c r="W297" s="53">
        <f t="shared" si="181"/>
        <v>0</v>
      </c>
      <c r="X297" s="1">
        <v>0</v>
      </c>
      <c r="Y297" s="41">
        <f t="shared" si="182"/>
        <v>0</v>
      </c>
      <c r="Z297" s="1">
        <f t="shared" si="183"/>
        <v>0</v>
      </c>
      <c r="AA297" s="41">
        <v>0</v>
      </c>
      <c r="AB297" s="41">
        <f t="shared" si="184"/>
        <v>0</v>
      </c>
      <c r="AC297" s="1">
        <f t="shared" si="185"/>
        <v>0</v>
      </c>
      <c r="AD297" s="41">
        <v>64849.24</v>
      </c>
      <c r="AE297" s="1">
        <f t="shared" si="165"/>
        <v>64849.24</v>
      </c>
      <c r="AF297" s="1">
        <f t="shared" si="166"/>
        <v>64849.24</v>
      </c>
    </row>
    <row r="298" spans="1:32">
      <c r="A298" s="13">
        <v>23113</v>
      </c>
      <c r="B298" s="60">
        <v>16000</v>
      </c>
      <c r="C298" s="56" t="s">
        <v>749</v>
      </c>
      <c r="D298" s="62"/>
      <c r="E298" s="64"/>
      <c r="F298" s="62"/>
      <c r="G298" s="64"/>
      <c r="H298" s="62"/>
      <c r="I298" s="64"/>
      <c r="J298" s="62"/>
      <c r="K298" s="64"/>
      <c r="L298" s="62"/>
      <c r="M298" s="63"/>
      <c r="N298" s="53"/>
      <c r="O298" s="53"/>
      <c r="P298" s="53"/>
      <c r="Q298" s="53"/>
      <c r="R298" s="58"/>
      <c r="S298" s="53"/>
      <c r="T298" s="53">
        <f t="shared" si="179"/>
        <v>0</v>
      </c>
      <c r="U298" s="63"/>
      <c r="V298" s="53">
        <f t="shared" si="180"/>
        <v>0</v>
      </c>
      <c r="W298" s="53">
        <f t="shared" si="181"/>
        <v>0</v>
      </c>
      <c r="X298" s="41">
        <v>0</v>
      </c>
      <c r="Y298" s="41">
        <f t="shared" si="182"/>
        <v>0</v>
      </c>
      <c r="Z298" s="1">
        <f t="shared" si="183"/>
        <v>0</v>
      </c>
      <c r="AA298" s="41">
        <v>0</v>
      </c>
      <c r="AB298" s="41">
        <f t="shared" si="184"/>
        <v>0</v>
      </c>
      <c r="AC298" s="1">
        <f t="shared" si="185"/>
        <v>0</v>
      </c>
      <c r="AD298" s="41">
        <v>512732.25</v>
      </c>
      <c r="AE298" s="1">
        <f t="shared" si="165"/>
        <v>512732.25</v>
      </c>
      <c r="AF298" s="1">
        <f t="shared" si="166"/>
        <v>512732.25</v>
      </c>
    </row>
    <row r="299" spans="1:32">
      <c r="A299" s="13">
        <v>32000</v>
      </c>
      <c r="B299" s="60">
        <v>16000</v>
      </c>
      <c r="C299" s="56" t="s">
        <v>750</v>
      </c>
      <c r="D299" s="62"/>
      <c r="E299" s="64"/>
      <c r="F299" s="62"/>
      <c r="G299" s="64"/>
      <c r="H299" s="62"/>
      <c r="I299" s="64"/>
      <c r="J299" s="62"/>
      <c r="K299" s="64"/>
      <c r="L299" s="62"/>
      <c r="M299" s="63"/>
      <c r="N299" s="53"/>
      <c r="O299" s="53"/>
      <c r="P299" s="53"/>
      <c r="Q299" s="53"/>
      <c r="R299" s="58"/>
      <c r="S299" s="53"/>
      <c r="T299" s="53">
        <f t="shared" si="179"/>
        <v>0</v>
      </c>
      <c r="U299" s="63"/>
      <c r="V299" s="53">
        <f t="shared" si="180"/>
        <v>0</v>
      </c>
      <c r="W299" s="53">
        <f t="shared" si="181"/>
        <v>0</v>
      </c>
      <c r="X299" s="41">
        <v>0</v>
      </c>
      <c r="Y299" s="41">
        <f t="shared" si="182"/>
        <v>0</v>
      </c>
      <c r="Z299" s="1">
        <f t="shared" si="183"/>
        <v>0</v>
      </c>
      <c r="AA299" s="41">
        <v>0</v>
      </c>
      <c r="AB299" s="41">
        <f t="shared" si="184"/>
        <v>0</v>
      </c>
      <c r="AC299" s="1">
        <f t="shared" si="185"/>
        <v>0</v>
      </c>
      <c r="AD299" s="41">
        <v>256357.25</v>
      </c>
      <c r="AE299" s="1">
        <f t="shared" si="165"/>
        <v>256357.25</v>
      </c>
      <c r="AF299" s="1">
        <f t="shared" si="166"/>
        <v>256357.25</v>
      </c>
    </row>
    <row r="300" spans="1:32">
      <c r="A300" s="13">
        <v>33220</v>
      </c>
      <c r="B300" s="60">
        <v>16000</v>
      </c>
      <c r="C300" s="56" t="s">
        <v>751</v>
      </c>
      <c r="D300" s="62"/>
      <c r="E300" s="64"/>
      <c r="F300" s="62"/>
      <c r="G300" s="64"/>
      <c r="H300" s="62"/>
      <c r="I300" s="64"/>
      <c r="J300" s="62"/>
      <c r="K300" s="64"/>
      <c r="L300" s="62"/>
      <c r="M300" s="63"/>
      <c r="N300" s="53"/>
      <c r="O300" s="53"/>
      <c r="P300" s="53"/>
      <c r="Q300" s="53"/>
      <c r="R300" s="58"/>
      <c r="S300" s="53"/>
      <c r="T300" s="53">
        <f t="shared" si="179"/>
        <v>0</v>
      </c>
      <c r="U300" s="63"/>
      <c r="V300" s="53">
        <f t="shared" si="180"/>
        <v>0</v>
      </c>
      <c r="W300" s="53">
        <f t="shared" si="181"/>
        <v>0</v>
      </c>
      <c r="X300" s="1">
        <v>0</v>
      </c>
      <c r="Y300" s="41">
        <f t="shared" si="182"/>
        <v>0</v>
      </c>
      <c r="Z300" s="1">
        <f t="shared" si="183"/>
        <v>0</v>
      </c>
      <c r="AA300" s="1">
        <v>0</v>
      </c>
      <c r="AB300" s="41">
        <f t="shared" si="184"/>
        <v>0</v>
      </c>
      <c r="AC300" s="1">
        <f t="shared" si="185"/>
        <v>0</v>
      </c>
      <c r="AD300" s="41">
        <v>46507.12</v>
      </c>
      <c r="AE300" s="1">
        <f t="shared" si="165"/>
        <v>46507.12</v>
      </c>
      <c r="AF300" s="1">
        <f t="shared" si="166"/>
        <v>46507.12</v>
      </c>
    </row>
    <row r="301" spans="1:32">
      <c r="A301" s="11">
        <v>33400</v>
      </c>
      <c r="B301" s="60">
        <v>16000</v>
      </c>
      <c r="C301" s="56" t="s">
        <v>803</v>
      </c>
      <c r="D301" s="62"/>
      <c r="E301" s="64"/>
      <c r="F301" s="62"/>
      <c r="G301" s="64"/>
      <c r="H301" s="62"/>
      <c r="I301" s="64"/>
      <c r="J301" s="62"/>
      <c r="K301" s="64"/>
      <c r="L301" s="62"/>
      <c r="M301" s="63"/>
      <c r="N301" s="53"/>
      <c r="O301" s="53"/>
      <c r="P301" s="53"/>
      <c r="Q301" s="53"/>
      <c r="R301" s="58"/>
      <c r="S301" s="53"/>
      <c r="T301" s="53">
        <f t="shared" si="179"/>
        <v>0</v>
      </c>
      <c r="U301" s="63"/>
      <c r="V301" s="53">
        <f t="shared" si="180"/>
        <v>0</v>
      </c>
      <c r="W301" s="53">
        <f t="shared" si="181"/>
        <v>0</v>
      </c>
      <c r="X301" s="1">
        <v>0</v>
      </c>
      <c r="Y301" s="41">
        <f t="shared" si="182"/>
        <v>0</v>
      </c>
      <c r="Z301" s="1">
        <f t="shared" si="183"/>
        <v>0</v>
      </c>
      <c r="AA301" s="1">
        <v>0</v>
      </c>
      <c r="AB301" s="1">
        <f t="shared" si="184"/>
        <v>0</v>
      </c>
      <c r="AC301" s="1">
        <f t="shared" si="185"/>
        <v>0</v>
      </c>
      <c r="AD301" s="41">
        <v>21924.75</v>
      </c>
      <c r="AE301" s="1">
        <f t="shared" si="165"/>
        <v>21924.75</v>
      </c>
      <c r="AF301" s="1">
        <f t="shared" si="166"/>
        <v>21924.75</v>
      </c>
    </row>
    <row r="302" spans="1:32">
      <c r="A302" s="11">
        <v>33600</v>
      </c>
      <c r="B302" s="60">
        <v>16000</v>
      </c>
      <c r="C302" s="56" t="s">
        <v>752</v>
      </c>
      <c r="D302" s="62"/>
      <c r="E302" s="64"/>
      <c r="F302" s="62"/>
      <c r="G302" s="64"/>
      <c r="H302" s="62"/>
      <c r="I302" s="64"/>
      <c r="J302" s="62"/>
      <c r="K302" s="64"/>
      <c r="L302" s="62"/>
      <c r="M302" s="63"/>
      <c r="N302" s="53"/>
      <c r="O302" s="53"/>
      <c r="P302" s="53"/>
      <c r="Q302" s="53"/>
      <c r="R302" s="58"/>
      <c r="S302" s="53"/>
      <c r="T302" s="53">
        <f t="shared" si="179"/>
        <v>0</v>
      </c>
      <c r="U302" s="63"/>
      <c r="V302" s="53">
        <f t="shared" si="180"/>
        <v>0</v>
      </c>
      <c r="W302" s="53">
        <f t="shared" si="181"/>
        <v>0</v>
      </c>
      <c r="X302" s="1">
        <v>0</v>
      </c>
      <c r="Y302" s="41">
        <f t="shared" si="182"/>
        <v>0</v>
      </c>
      <c r="Z302" s="1">
        <f t="shared" si="183"/>
        <v>0</v>
      </c>
      <c r="AA302" s="1">
        <v>0</v>
      </c>
      <c r="AB302" s="1">
        <f t="shared" si="184"/>
        <v>0</v>
      </c>
      <c r="AC302" s="1">
        <f t="shared" si="185"/>
        <v>0</v>
      </c>
      <c r="AD302" s="41">
        <v>116882.83</v>
      </c>
      <c r="AE302" s="1">
        <f t="shared" si="165"/>
        <v>116882.83</v>
      </c>
      <c r="AF302" s="1">
        <f t="shared" si="166"/>
        <v>116882.83</v>
      </c>
    </row>
    <row r="303" spans="1:32">
      <c r="A303" s="11">
        <v>33700</v>
      </c>
      <c r="B303" s="60">
        <v>16000</v>
      </c>
      <c r="C303" s="56" t="s">
        <v>753</v>
      </c>
      <c r="D303" s="62"/>
      <c r="E303" s="64"/>
      <c r="F303" s="62"/>
      <c r="G303" s="64"/>
      <c r="H303" s="62"/>
      <c r="I303" s="64"/>
      <c r="J303" s="62"/>
      <c r="K303" s="64"/>
      <c r="L303" s="62"/>
      <c r="M303" s="63"/>
      <c r="N303" s="53"/>
      <c r="O303" s="53"/>
      <c r="P303" s="53"/>
      <c r="Q303" s="53"/>
      <c r="R303" s="58"/>
      <c r="S303" s="53"/>
      <c r="T303" s="53">
        <f t="shared" si="179"/>
        <v>0</v>
      </c>
      <c r="U303" s="63"/>
      <c r="V303" s="53">
        <f t="shared" si="180"/>
        <v>0</v>
      </c>
      <c r="W303" s="53">
        <f t="shared" si="181"/>
        <v>0</v>
      </c>
      <c r="X303" s="1">
        <v>0</v>
      </c>
      <c r="Y303" s="41">
        <f t="shared" si="182"/>
        <v>0</v>
      </c>
      <c r="Z303" s="1">
        <f t="shared" si="183"/>
        <v>0</v>
      </c>
      <c r="AA303" s="1">
        <v>0</v>
      </c>
      <c r="AB303" s="1">
        <f t="shared" si="184"/>
        <v>0</v>
      </c>
      <c r="AC303" s="1">
        <f t="shared" si="185"/>
        <v>0</v>
      </c>
      <c r="AD303" s="41">
        <v>21384.12</v>
      </c>
      <c r="AE303" s="1">
        <f t="shared" si="165"/>
        <v>21384.12</v>
      </c>
      <c r="AF303" s="1">
        <f t="shared" si="166"/>
        <v>21384.12</v>
      </c>
    </row>
    <row r="304" spans="1:32">
      <c r="A304" s="11">
        <v>33710</v>
      </c>
      <c r="B304" s="59">
        <v>16000</v>
      </c>
      <c r="C304" s="65" t="s">
        <v>754</v>
      </c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>
        <v>0</v>
      </c>
      <c r="U304" s="53"/>
      <c r="V304" s="53">
        <f t="shared" si="180"/>
        <v>0</v>
      </c>
      <c r="W304" s="53">
        <f t="shared" si="181"/>
        <v>0</v>
      </c>
      <c r="X304" s="1">
        <v>0</v>
      </c>
      <c r="Y304" s="41">
        <f t="shared" si="182"/>
        <v>0</v>
      </c>
      <c r="Z304" s="1">
        <f t="shared" si="183"/>
        <v>0</v>
      </c>
      <c r="AA304" s="1">
        <v>0</v>
      </c>
      <c r="AB304" s="1">
        <f t="shared" si="184"/>
        <v>0</v>
      </c>
      <c r="AC304" s="1">
        <f t="shared" si="185"/>
        <v>0</v>
      </c>
      <c r="AD304" s="41">
        <v>26046.01</v>
      </c>
      <c r="AE304" s="1">
        <f t="shared" si="165"/>
        <v>26046.01</v>
      </c>
      <c r="AF304" s="1">
        <f t="shared" si="166"/>
        <v>26046.01</v>
      </c>
    </row>
    <row r="305" spans="1:32">
      <c r="A305" s="11">
        <v>33800</v>
      </c>
      <c r="B305" s="59">
        <v>16000</v>
      </c>
      <c r="C305" s="55" t="s">
        <v>755</v>
      </c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>
        <v>0</v>
      </c>
      <c r="U305" s="53"/>
      <c r="V305" s="53">
        <f t="shared" si="180"/>
        <v>0</v>
      </c>
      <c r="W305" s="53">
        <f t="shared" si="181"/>
        <v>0</v>
      </c>
      <c r="X305" s="1">
        <v>0</v>
      </c>
      <c r="Y305" s="41">
        <f t="shared" si="182"/>
        <v>0</v>
      </c>
      <c r="Z305" s="1">
        <f t="shared" si="183"/>
        <v>0</v>
      </c>
      <c r="AA305" s="1">
        <v>0</v>
      </c>
      <c r="AB305" s="1">
        <f t="shared" si="184"/>
        <v>0</v>
      </c>
      <c r="AC305" s="1">
        <f t="shared" si="185"/>
        <v>0</v>
      </c>
      <c r="AD305" s="41">
        <v>12809.21</v>
      </c>
      <c r="AE305" s="1">
        <f t="shared" si="165"/>
        <v>12809.21</v>
      </c>
      <c r="AF305" s="1">
        <f t="shared" si="166"/>
        <v>12809.21</v>
      </c>
    </row>
    <row r="306" spans="1:32">
      <c r="A306" s="11">
        <v>34000</v>
      </c>
      <c r="B306" s="59">
        <v>16000</v>
      </c>
      <c r="C306" s="55" t="s">
        <v>756</v>
      </c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>
        <v>0</v>
      </c>
      <c r="U306" s="53"/>
      <c r="V306" s="53">
        <f t="shared" si="180"/>
        <v>0</v>
      </c>
      <c r="W306" s="53">
        <f t="shared" si="181"/>
        <v>0</v>
      </c>
      <c r="X306" s="1">
        <v>0</v>
      </c>
      <c r="Y306" s="41">
        <f t="shared" si="182"/>
        <v>0</v>
      </c>
      <c r="Z306" s="1">
        <f t="shared" si="183"/>
        <v>0</v>
      </c>
      <c r="AA306" s="1">
        <v>0</v>
      </c>
      <c r="AB306" s="1">
        <f t="shared" si="184"/>
        <v>0</v>
      </c>
      <c r="AC306" s="1">
        <f t="shared" si="185"/>
        <v>0</v>
      </c>
      <c r="AD306" s="41">
        <v>147870.95000000001</v>
      </c>
      <c r="AE306" s="1">
        <f t="shared" si="165"/>
        <v>147870.95000000001</v>
      </c>
      <c r="AF306" s="1">
        <f t="shared" si="166"/>
        <v>147870.95000000001</v>
      </c>
    </row>
    <row r="307" spans="1:32">
      <c r="A307" s="11">
        <v>43120</v>
      </c>
      <c r="B307" s="59">
        <v>16000</v>
      </c>
      <c r="C307" s="55" t="s">
        <v>757</v>
      </c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>
        <v>0</v>
      </c>
      <c r="U307" s="53"/>
      <c r="V307" s="53">
        <f t="shared" si="180"/>
        <v>0</v>
      </c>
      <c r="W307" s="53">
        <f t="shared" si="181"/>
        <v>0</v>
      </c>
      <c r="X307" s="1">
        <v>0</v>
      </c>
      <c r="Y307" s="41">
        <f t="shared" si="182"/>
        <v>0</v>
      </c>
      <c r="Z307" s="1">
        <f t="shared" si="183"/>
        <v>0</v>
      </c>
      <c r="AA307" s="1">
        <v>0</v>
      </c>
      <c r="AB307" s="41">
        <f t="shared" si="184"/>
        <v>0</v>
      </c>
      <c r="AC307" s="1">
        <f t="shared" si="185"/>
        <v>0</v>
      </c>
      <c r="AD307" s="41">
        <v>14762.42</v>
      </c>
      <c r="AE307" s="1">
        <f t="shared" si="165"/>
        <v>14762.42</v>
      </c>
      <c r="AF307" s="1">
        <f t="shared" si="166"/>
        <v>14762.42</v>
      </c>
    </row>
    <row r="308" spans="1:32">
      <c r="A308" s="11">
        <v>43200</v>
      </c>
      <c r="B308" s="59">
        <v>16000</v>
      </c>
      <c r="C308" s="55" t="s">
        <v>758</v>
      </c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>
        <v>0</v>
      </c>
      <c r="U308" s="53"/>
      <c r="V308" s="53">
        <f t="shared" si="180"/>
        <v>0</v>
      </c>
      <c r="W308" s="53">
        <f t="shared" si="181"/>
        <v>0</v>
      </c>
      <c r="X308" s="1">
        <v>0</v>
      </c>
      <c r="Y308" s="41">
        <f t="shared" si="182"/>
        <v>0</v>
      </c>
      <c r="Z308" s="1">
        <f t="shared" si="183"/>
        <v>0</v>
      </c>
      <c r="AA308" s="1">
        <v>0</v>
      </c>
      <c r="AB308" s="41">
        <f t="shared" si="184"/>
        <v>0</v>
      </c>
      <c r="AC308" s="1">
        <f t="shared" si="185"/>
        <v>0</v>
      </c>
      <c r="AD308" s="41">
        <v>74058.19</v>
      </c>
      <c r="AE308" s="1">
        <f t="shared" si="165"/>
        <v>74058.19</v>
      </c>
      <c r="AF308" s="1">
        <f t="shared" si="166"/>
        <v>74058.19</v>
      </c>
    </row>
    <row r="309" spans="1:32">
      <c r="A309" s="42">
        <v>43210</v>
      </c>
      <c r="B309" s="11">
        <v>16000</v>
      </c>
      <c r="C309" s="42" t="s">
        <v>882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3"/>
      <c r="S309" s="8"/>
      <c r="T309" s="8"/>
      <c r="U309" s="8"/>
      <c r="V309" s="8"/>
      <c r="W309" s="8"/>
      <c r="X309" s="8"/>
      <c r="Y309" s="8"/>
      <c r="Z309" s="47">
        <v>0</v>
      </c>
      <c r="AA309" s="47">
        <v>0</v>
      </c>
      <c r="AB309" s="41">
        <f t="shared" si="184"/>
        <v>0</v>
      </c>
      <c r="AC309" s="1">
        <f t="shared" si="185"/>
        <v>0</v>
      </c>
      <c r="AD309" s="41">
        <v>16051.67</v>
      </c>
      <c r="AE309" s="1">
        <f t="shared" si="165"/>
        <v>16051.67</v>
      </c>
      <c r="AF309" s="1">
        <f t="shared" si="166"/>
        <v>16051.67</v>
      </c>
    </row>
    <row r="310" spans="1:32">
      <c r="A310" s="11">
        <v>45900</v>
      </c>
      <c r="B310" s="59">
        <v>16000</v>
      </c>
      <c r="C310" s="55" t="s">
        <v>759</v>
      </c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>
        <v>0</v>
      </c>
      <c r="U310" s="53"/>
      <c r="V310" s="53">
        <f t="shared" ref="V310:V319" si="186">U310-T310</f>
        <v>0</v>
      </c>
      <c r="W310" s="53">
        <f t="shared" ref="W310:W319" si="187">T310+V310</f>
        <v>0</v>
      </c>
      <c r="X310" s="1">
        <v>0</v>
      </c>
      <c r="Y310" s="41">
        <f t="shared" ref="Y310:Y319" si="188">X310-W310</f>
        <v>0</v>
      </c>
      <c r="Z310" s="1">
        <f t="shared" ref="Z310:Z319" si="189">W310+Y310</f>
        <v>0</v>
      </c>
      <c r="AA310" s="41">
        <v>0</v>
      </c>
      <c r="AB310" s="41">
        <f t="shared" si="184"/>
        <v>0</v>
      </c>
      <c r="AC310" s="1">
        <f t="shared" si="185"/>
        <v>0</v>
      </c>
      <c r="AD310" s="41">
        <v>125428.58</v>
      </c>
      <c r="AE310" s="1">
        <f t="shared" si="165"/>
        <v>125428.58</v>
      </c>
      <c r="AF310" s="1">
        <f t="shared" si="166"/>
        <v>125428.58</v>
      </c>
    </row>
    <row r="311" spans="1:32">
      <c r="A311" s="11">
        <v>49300</v>
      </c>
      <c r="B311" s="59">
        <v>16000</v>
      </c>
      <c r="C311" s="55" t="s">
        <v>760</v>
      </c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>
        <v>0</v>
      </c>
      <c r="U311" s="53"/>
      <c r="V311" s="53">
        <f t="shared" si="186"/>
        <v>0</v>
      </c>
      <c r="W311" s="53">
        <f t="shared" si="187"/>
        <v>0</v>
      </c>
      <c r="X311" s="1">
        <v>0</v>
      </c>
      <c r="Y311" s="41">
        <f t="shared" si="188"/>
        <v>0</v>
      </c>
      <c r="Z311" s="1">
        <f t="shared" si="189"/>
        <v>0</v>
      </c>
      <c r="AA311" s="1">
        <v>0</v>
      </c>
      <c r="AB311" s="1">
        <f t="shared" si="184"/>
        <v>0</v>
      </c>
      <c r="AC311" s="1">
        <f t="shared" si="185"/>
        <v>0</v>
      </c>
      <c r="AD311" s="41">
        <v>7161.64</v>
      </c>
      <c r="AE311" s="1">
        <f t="shared" si="165"/>
        <v>7161.64</v>
      </c>
      <c r="AF311" s="1">
        <f t="shared" si="166"/>
        <v>7161.64</v>
      </c>
    </row>
    <row r="312" spans="1:32">
      <c r="A312" s="11">
        <v>91200</v>
      </c>
      <c r="B312" s="59">
        <v>16000</v>
      </c>
      <c r="C312" s="55" t="s">
        <v>761</v>
      </c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>
        <v>0</v>
      </c>
      <c r="U312" s="53"/>
      <c r="V312" s="53">
        <f t="shared" si="186"/>
        <v>0</v>
      </c>
      <c r="W312" s="53">
        <f t="shared" si="187"/>
        <v>0</v>
      </c>
      <c r="X312" s="41">
        <v>0</v>
      </c>
      <c r="Y312" s="41">
        <f t="shared" si="188"/>
        <v>0</v>
      </c>
      <c r="Z312" s="1">
        <f t="shared" si="189"/>
        <v>0</v>
      </c>
      <c r="AA312" s="41">
        <v>0</v>
      </c>
      <c r="AB312" s="1">
        <f t="shared" si="184"/>
        <v>0</v>
      </c>
      <c r="AC312" s="1">
        <f t="shared" si="185"/>
        <v>0</v>
      </c>
      <c r="AD312" s="41">
        <v>53446.62</v>
      </c>
      <c r="AE312" s="1">
        <f t="shared" si="165"/>
        <v>53446.62</v>
      </c>
      <c r="AF312" s="1">
        <f t="shared" si="166"/>
        <v>53446.62</v>
      </c>
    </row>
    <row r="313" spans="1:32">
      <c r="A313" s="11">
        <v>91200</v>
      </c>
      <c r="B313" s="59">
        <v>16000</v>
      </c>
      <c r="C313" s="55" t="s">
        <v>763</v>
      </c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>
        <v>0</v>
      </c>
      <c r="U313" s="53"/>
      <c r="V313" s="53">
        <f t="shared" si="186"/>
        <v>0</v>
      </c>
      <c r="W313" s="53">
        <f t="shared" si="187"/>
        <v>0</v>
      </c>
      <c r="X313" s="1">
        <v>0</v>
      </c>
      <c r="Y313" s="41">
        <f t="shared" si="188"/>
        <v>0</v>
      </c>
      <c r="Z313" s="1">
        <f t="shared" si="189"/>
        <v>0</v>
      </c>
      <c r="AA313" s="1">
        <v>0</v>
      </c>
      <c r="AB313" s="1">
        <f t="shared" si="184"/>
        <v>0</v>
      </c>
      <c r="AC313" s="1">
        <f t="shared" si="185"/>
        <v>0</v>
      </c>
      <c r="AD313" s="41">
        <v>7827</v>
      </c>
      <c r="AE313" s="1">
        <f t="shared" si="165"/>
        <v>7827</v>
      </c>
      <c r="AF313" s="1">
        <f t="shared" si="166"/>
        <v>7827</v>
      </c>
    </row>
    <row r="314" spans="1:32">
      <c r="A314" s="11">
        <v>92000</v>
      </c>
      <c r="B314" s="11">
        <v>16000</v>
      </c>
      <c r="C314" s="11" t="s">
        <v>239</v>
      </c>
      <c r="D314" s="7">
        <v>4114433.18</v>
      </c>
      <c r="E314" s="7"/>
      <c r="F314" s="7">
        <f>D314-E314</f>
        <v>4114433.18</v>
      </c>
      <c r="G314" s="7">
        <v>33739.589999999997</v>
      </c>
      <c r="H314" s="18">
        <f>D314+G314</f>
        <v>4148172.77</v>
      </c>
      <c r="I314" s="1">
        <v>4228000</v>
      </c>
      <c r="J314" s="1">
        <f>H314-I314</f>
        <v>-79827.229999999981</v>
      </c>
      <c r="K314" s="1">
        <v>79827.23</v>
      </c>
      <c r="L314" s="1">
        <f>H314+K314</f>
        <v>4228000</v>
      </c>
      <c r="M314" s="7">
        <f>158715.64+972741.16+5894.34+249090.22+33078.85+25624.05+33442.26+35901.88+33826.7+135455.56+152063.03+82666.04+532162.53+29031.55+49281.75+143221.21+40314.24+45068.99+174238.7+21306.29+12088.09+175231.04+66466.7+6905.54+224694.23+27108.82+50033.7+7332.86+346343.6+31681.59+5916.33+9104+25273.5+16416.66+181950.76-L314</f>
        <v>-88327.58999999892</v>
      </c>
      <c r="N314" s="1">
        <f>L314+M314</f>
        <v>4139672.4100000011</v>
      </c>
      <c r="O314" s="1">
        <f>161222.39+944041.77+5916.33+244983.02+9652.61+20707.52+32655.28+36059.69+33826.7+142672.31+161460.08+63387.9+523574.6+130250.31+40482.22+39664.52+123163.24+32553.19+23651.22+12097.11+158367.16+6905.54+66492.67+178711.48+27028.46+50033.7+7332.86+350244.48+25391.74+9104+5938.31+31721.97+14847.46+172463.84</f>
        <v>3886605.6800000011</v>
      </c>
      <c r="P314" s="1">
        <f>O314-N314</f>
        <v>-253066.72999999998</v>
      </c>
      <c r="Q314" s="1">
        <f>N314+P314</f>
        <v>3886605.6800000011</v>
      </c>
      <c r="R314" s="41">
        <f>123518.13+946801.5+42310.23+5916.33+251982.31+20981.08+26294.3+37440.21+31740.22+137900.83+152470.62+60416.12+498457.22+118903.91+39501.47+39183.6+109416.13+26517.74+23803.03+12088.5+148559.04+6958.73+66620.7+149119.97+27754.6+52536.54+7357.09+334533.08+25766.55+9210.74+5916.33+32393.72+15071.36+169443.16</f>
        <v>3756885.0900000017</v>
      </c>
      <c r="S314" s="1">
        <f>R314-Q314</f>
        <v>-129720.58999999939</v>
      </c>
      <c r="T314" s="1">
        <f>Q314+S314</f>
        <v>3756885.0900000017</v>
      </c>
      <c r="U314" s="41">
        <f>148055.93+40698.91+953674.15+325274.21+7731.99+26790.79+42159.01+43491.62+129183.66+177945.98+61254.31+492431.11+200523.79+45522.96+38568.51+104015.65+27158.34+22162.1+18192.55+151672.21+7035.26+73746.31+126093.15+21485.34+7445.94+214969.2+26032.22+9253.44+5993.26+33060.31+15185.58+190799.82</f>
        <v>3787607.6099999989</v>
      </c>
      <c r="V314" s="1">
        <f t="shared" si="186"/>
        <v>30722.519999997225</v>
      </c>
      <c r="W314" s="1">
        <f t="shared" si="187"/>
        <v>3787607.6099999989</v>
      </c>
      <c r="X314" s="41">
        <f>128577+974337.69+41365.87+285885.87+9044.11+26952.5+44063.99+70742+142962.48+153043.2+66401.52+498931.82+224652.63+39918.91+39202.42+109229.96+34809.28+10652.27+9819.04+162062.47+7105.61+68219.49+122383.6+28336.95+41597.17+7520.4+230760.78+26412.79+9345.98+6075.39+33322.66+15430+254624.253</f>
        <v>3923790.1030000006</v>
      </c>
      <c r="Y314" s="41">
        <f t="shared" si="188"/>
        <v>136182.49300000165</v>
      </c>
      <c r="Z314" s="1">
        <f t="shared" si="189"/>
        <v>3923790.1030000006</v>
      </c>
      <c r="AA314" s="41">
        <f>136682.46+973675.48+40881.99+269737.69+29345.56+44337.14+119076.22+143112.02+151908.8+61626.59+504140.48+253065.79+45249.45+26992.19+114636.22+21632.23+25492.99+16381.27+152137.19+14155.07+66865.68+15965.72+121741.77+7055.74+53183.33+7620.48+218182.2+28026.46+10996.19+6192.28+33838.01+15584.43+196372.5</f>
        <v>3925891.6200000006</v>
      </c>
      <c r="AB314" s="1">
        <f t="shared" si="184"/>
        <v>2101.5169999999925</v>
      </c>
      <c r="AC314" s="1">
        <f t="shared" si="185"/>
        <v>3925891.6200000006</v>
      </c>
      <c r="AD314" s="41">
        <v>219934.75</v>
      </c>
      <c r="AE314" s="1">
        <f t="shared" si="165"/>
        <v>-3705956.8700000006</v>
      </c>
      <c r="AF314" s="1">
        <f t="shared" si="166"/>
        <v>219934.75</v>
      </c>
    </row>
    <row r="315" spans="1:32">
      <c r="A315" s="11">
        <v>92010</v>
      </c>
      <c r="B315" s="59">
        <v>16000</v>
      </c>
      <c r="C315" s="55" t="s">
        <v>766</v>
      </c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>
        <v>0</v>
      </c>
      <c r="U315" s="53"/>
      <c r="V315" s="1">
        <f t="shared" si="186"/>
        <v>0</v>
      </c>
      <c r="W315" s="1">
        <f t="shared" si="187"/>
        <v>0</v>
      </c>
      <c r="X315" s="1">
        <v>0</v>
      </c>
      <c r="Y315" s="41">
        <f t="shared" si="188"/>
        <v>0</v>
      </c>
      <c r="Z315" s="1">
        <f t="shared" si="189"/>
        <v>0</v>
      </c>
      <c r="AA315" s="1">
        <v>0</v>
      </c>
      <c r="AB315" s="1">
        <f t="shared" si="184"/>
        <v>0</v>
      </c>
      <c r="AC315" s="1">
        <f t="shared" si="185"/>
        <v>0</v>
      </c>
      <c r="AD315" s="41">
        <v>29679.9</v>
      </c>
      <c r="AE315" s="1">
        <f t="shared" si="165"/>
        <v>29679.9</v>
      </c>
      <c r="AF315" s="1">
        <f t="shared" si="166"/>
        <v>29679.9</v>
      </c>
    </row>
    <row r="316" spans="1:32">
      <c r="A316" s="11">
        <v>92020</v>
      </c>
      <c r="B316" s="59">
        <v>16000</v>
      </c>
      <c r="C316" s="55" t="s">
        <v>767</v>
      </c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>
        <v>0</v>
      </c>
      <c r="U316" s="53"/>
      <c r="V316" s="1">
        <f t="shared" si="186"/>
        <v>0</v>
      </c>
      <c r="W316" s="1">
        <f t="shared" si="187"/>
        <v>0</v>
      </c>
      <c r="X316" s="1">
        <v>0</v>
      </c>
      <c r="Y316" s="41">
        <f t="shared" si="188"/>
        <v>0</v>
      </c>
      <c r="Z316" s="1">
        <f t="shared" si="189"/>
        <v>0</v>
      </c>
      <c r="AA316" s="1">
        <v>0</v>
      </c>
      <c r="AB316" s="1">
        <f t="shared" si="184"/>
        <v>0</v>
      </c>
      <c r="AC316" s="1">
        <f t="shared" si="185"/>
        <v>0</v>
      </c>
      <c r="AD316" s="41">
        <v>18700.490000000002</v>
      </c>
      <c r="AE316" s="1">
        <f t="shared" si="165"/>
        <v>18700.490000000002</v>
      </c>
      <c r="AF316" s="1">
        <f t="shared" si="166"/>
        <v>18700.490000000002</v>
      </c>
    </row>
    <row r="317" spans="1:32">
      <c r="A317" s="11">
        <v>92400</v>
      </c>
      <c r="B317" s="59">
        <v>16000</v>
      </c>
      <c r="C317" s="55" t="s">
        <v>770</v>
      </c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>
        <v>0</v>
      </c>
      <c r="U317" s="53"/>
      <c r="V317" s="1">
        <f t="shared" si="186"/>
        <v>0</v>
      </c>
      <c r="W317" s="1">
        <f t="shared" si="187"/>
        <v>0</v>
      </c>
      <c r="X317" s="1">
        <v>0</v>
      </c>
      <c r="Y317" s="41">
        <f t="shared" si="188"/>
        <v>0</v>
      </c>
      <c r="Z317" s="1">
        <f t="shared" si="189"/>
        <v>0</v>
      </c>
      <c r="AA317" s="1">
        <v>0</v>
      </c>
      <c r="AB317" s="1">
        <f t="shared" si="184"/>
        <v>0</v>
      </c>
      <c r="AC317" s="1">
        <f t="shared" si="185"/>
        <v>0</v>
      </c>
      <c r="AD317" s="41">
        <v>6285.42</v>
      </c>
      <c r="AE317" s="1">
        <f t="shared" si="165"/>
        <v>6285.42</v>
      </c>
      <c r="AF317" s="1">
        <f t="shared" si="166"/>
        <v>6285.42</v>
      </c>
    </row>
    <row r="318" spans="1:32">
      <c r="A318" s="11">
        <v>92600</v>
      </c>
      <c r="B318" s="59">
        <v>16000</v>
      </c>
      <c r="C318" s="55" t="s">
        <v>769</v>
      </c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>
        <v>0</v>
      </c>
      <c r="U318" s="53"/>
      <c r="V318" s="1">
        <f t="shared" si="186"/>
        <v>0</v>
      </c>
      <c r="W318" s="1">
        <f t="shared" si="187"/>
        <v>0</v>
      </c>
      <c r="X318" s="1">
        <v>0</v>
      </c>
      <c r="Y318" s="41">
        <f t="shared" si="188"/>
        <v>0</v>
      </c>
      <c r="Z318" s="1">
        <f t="shared" si="189"/>
        <v>0</v>
      </c>
      <c r="AA318" s="1">
        <v>0</v>
      </c>
      <c r="AB318" s="1">
        <f t="shared" si="184"/>
        <v>0</v>
      </c>
      <c r="AC318" s="1">
        <f t="shared" si="185"/>
        <v>0</v>
      </c>
      <c r="AD318" s="41">
        <v>34636.769999999997</v>
      </c>
      <c r="AE318" s="1">
        <f t="shared" si="165"/>
        <v>34636.769999999997</v>
      </c>
      <c r="AF318" s="1">
        <f t="shared" si="166"/>
        <v>34636.769999999997</v>
      </c>
    </row>
    <row r="319" spans="1:32">
      <c r="A319" s="11">
        <v>92900</v>
      </c>
      <c r="B319" s="59">
        <v>16000</v>
      </c>
      <c r="C319" s="55" t="s">
        <v>768</v>
      </c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>
        <v>0</v>
      </c>
      <c r="U319" s="53"/>
      <c r="V319" s="1">
        <f t="shared" si="186"/>
        <v>0</v>
      </c>
      <c r="W319" s="1">
        <f t="shared" si="187"/>
        <v>0</v>
      </c>
      <c r="X319" s="1">
        <v>0</v>
      </c>
      <c r="Y319" s="41">
        <f t="shared" si="188"/>
        <v>0</v>
      </c>
      <c r="Z319" s="1">
        <f t="shared" si="189"/>
        <v>0</v>
      </c>
      <c r="AA319" s="1">
        <v>0</v>
      </c>
      <c r="AB319" s="1">
        <f t="shared" si="184"/>
        <v>0</v>
      </c>
      <c r="AC319" s="1">
        <f t="shared" si="185"/>
        <v>0</v>
      </c>
      <c r="AD319" s="41">
        <v>17076.28</v>
      </c>
      <c r="AE319" s="1">
        <f t="shared" si="165"/>
        <v>17076.28</v>
      </c>
      <c r="AF319" s="1">
        <f t="shared" si="166"/>
        <v>17076.28</v>
      </c>
    </row>
    <row r="320" spans="1:32">
      <c r="A320" s="11">
        <v>93100</v>
      </c>
      <c r="B320" s="19">
        <v>16100</v>
      </c>
      <c r="C320" s="48" t="s">
        <v>946</v>
      </c>
      <c r="D320" s="20"/>
      <c r="E320" s="20"/>
      <c r="F320" s="20"/>
      <c r="G320" s="20"/>
      <c r="H320" s="20"/>
      <c r="I320" s="21"/>
      <c r="J320" s="21"/>
      <c r="K320" s="21"/>
      <c r="L320" s="21"/>
      <c r="N320" s="1"/>
      <c r="O320" s="1"/>
      <c r="T320" s="1"/>
      <c r="V320" s="1"/>
      <c r="W320" s="1"/>
      <c r="Y320" s="41"/>
      <c r="Z320" s="1"/>
      <c r="AB320" s="1"/>
      <c r="AC320" s="1">
        <v>0</v>
      </c>
      <c r="AD320" s="41">
        <v>209275.06</v>
      </c>
      <c r="AE320" s="1">
        <f t="shared" si="165"/>
        <v>209275.06</v>
      </c>
      <c r="AF320" s="1">
        <f t="shared" si="166"/>
        <v>209275.06</v>
      </c>
    </row>
    <row r="321" spans="1:32">
      <c r="A321" s="11">
        <v>92000</v>
      </c>
      <c r="B321" s="11">
        <v>16104</v>
      </c>
      <c r="C321" s="11" t="s">
        <v>240</v>
      </c>
      <c r="D321" s="7">
        <v>10000</v>
      </c>
      <c r="E321" s="7"/>
      <c r="F321" s="7">
        <f>D321-E321</f>
        <v>10000</v>
      </c>
      <c r="G321" s="7"/>
      <c r="H321" s="7">
        <f>D321+G321</f>
        <v>10000</v>
      </c>
      <c r="I321" s="1">
        <v>10000</v>
      </c>
      <c r="J321" s="1">
        <f>H321-I321</f>
        <v>0</v>
      </c>
      <c r="K321" s="1">
        <v>0</v>
      </c>
      <c r="L321" s="1">
        <f>H321+K321</f>
        <v>10000</v>
      </c>
      <c r="N321" s="1">
        <f>L321+M321</f>
        <v>10000</v>
      </c>
      <c r="O321" s="1">
        <v>10000</v>
      </c>
      <c r="P321" s="1">
        <f>O321-N321</f>
        <v>0</v>
      </c>
      <c r="Q321" s="1">
        <f>N321+P321</f>
        <v>10000</v>
      </c>
      <c r="R321" s="41">
        <v>10000</v>
      </c>
      <c r="S321" s="1">
        <f>R321-Q321</f>
        <v>0</v>
      </c>
      <c r="T321" s="1">
        <f>Q321+S321</f>
        <v>10000</v>
      </c>
      <c r="U321" s="41">
        <v>10000</v>
      </c>
      <c r="V321" s="1">
        <f>U321-T321</f>
        <v>0</v>
      </c>
      <c r="W321" s="1">
        <f>T321+V321</f>
        <v>10000</v>
      </c>
      <c r="X321" s="41">
        <v>10000</v>
      </c>
      <c r="Y321" s="41">
        <f>X321-W321</f>
        <v>0</v>
      </c>
      <c r="Z321" s="1">
        <f>W321+Y321</f>
        <v>10000</v>
      </c>
      <c r="AA321" s="41">
        <v>10000</v>
      </c>
      <c r="AB321" s="1">
        <f>AA321-Z321</f>
        <v>0</v>
      </c>
      <c r="AC321" s="1">
        <f>Z321+AB321</f>
        <v>10000</v>
      </c>
      <c r="AD321" s="41">
        <v>10000</v>
      </c>
      <c r="AE321" s="1">
        <f t="shared" si="165"/>
        <v>0</v>
      </c>
      <c r="AF321" s="1">
        <f t="shared" si="166"/>
        <v>10000</v>
      </c>
    </row>
    <row r="322" spans="1:32">
      <c r="A322" s="11">
        <v>92000</v>
      </c>
      <c r="B322" s="11">
        <v>16200</v>
      </c>
      <c r="C322" s="11" t="s">
        <v>241</v>
      </c>
      <c r="D322" s="6">
        <v>76694.48</v>
      </c>
      <c r="E322" s="6">
        <v>77762.320000000007</v>
      </c>
      <c r="F322" s="6">
        <f>D322-E322</f>
        <v>-1067.8400000000111</v>
      </c>
      <c r="G322" s="6">
        <v>1067.8399999999999</v>
      </c>
      <c r="H322" s="6">
        <f>D322+G322</f>
        <v>77762.319999999992</v>
      </c>
      <c r="I322" s="1">
        <v>72053.61</v>
      </c>
      <c r="J322" s="1">
        <f>H322-I322</f>
        <v>5708.7099999999919</v>
      </c>
      <c r="K322" s="1">
        <v>-5708.71</v>
      </c>
      <c r="L322" s="1">
        <f>H322+K322</f>
        <v>72053.609999999986</v>
      </c>
      <c r="M322" s="7">
        <v>-42053.61</v>
      </c>
      <c r="N322" s="1">
        <f>L322+M322</f>
        <v>29999.999999999985</v>
      </c>
      <c r="O322" s="1">
        <v>30000</v>
      </c>
      <c r="P322" s="1">
        <f>O322-N322</f>
        <v>0</v>
      </c>
      <c r="Q322" s="1">
        <f>N322+P322</f>
        <v>29999.999999999985</v>
      </c>
      <c r="R322" s="41">
        <v>15000</v>
      </c>
      <c r="S322" s="1">
        <f>R322-Q322</f>
        <v>-14999.999999999985</v>
      </c>
      <c r="T322" s="1">
        <f>Q322+S322</f>
        <v>15000</v>
      </c>
      <c r="U322" s="41">
        <v>15000</v>
      </c>
      <c r="V322" s="1">
        <f>U322-T322</f>
        <v>0</v>
      </c>
      <c r="W322" s="1">
        <f>T322+V322</f>
        <v>15000</v>
      </c>
      <c r="X322" s="41">
        <v>15000</v>
      </c>
      <c r="Y322" s="41">
        <f>X322-W322</f>
        <v>0</v>
      </c>
      <c r="Z322" s="1">
        <f>W322+Y322</f>
        <v>15000</v>
      </c>
      <c r="AA322" s="41">
        <v>15000</v>
      </c>
      <c r="AB322" s="1">
        <f>AA322-Z322</f>
        <v>0</v>
      </c>
      <c r="AC322" s="1">
        <f>Z322+AB322</f>
        <v>15000</v>
      </c>
      <c r="AD322" s="41">
        <v>15000</v>
      </c>
      <c r="AE322" s="1">
        <f t="shared" ref="AE322:AE323" si="190">AD322-AC322</f>
        <v>0</v>
      </c>
      <c r="AF322" s="1">
        <f t="shared" ref="AF322:AF323" si="191">AC322+AE322</f>
        <v>15000</v>
      </c>
    </row>
    <row r="323" spans="1:32">
      <c r="A323" s="42">
        <v>22100</v>
      </c>
      <c r="B323" s="52">
        <v>16204</v>
      </c>
      <c r="C323" s="52" t="s">
        <v>728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3"/>
      <c r="S323" s="8"/>
      <c r="T323" s="47">
        <v>0</v>
      </c>
      <c r="U323" s="47">
        <v>90000</v>
      </c>
      <c r="V323" s="1">
        <f>U323-T323</f>
        <v>90000</v>
      </c>
      <c r="W323" s="1">
        <f>T323+V323</f>
        <v>90000</v>
      </c>
      <c r="X323" s="41">
        <v>90000</v>
      </c>
      <c r="Y323" s="41">
        <f>X323-W323</f>
        <v>0</v>
      </c>
      <c r="Z323" s="1">
        <f>W323+Y323</f>
        <v>90000</v>
      </c>
      <c r="AA323" s="41">
        <v>90000</v>
      </c>
      <c r="AB323" s="1">
        <f>AA323-Z323</f>
        <v>0</v>
      </c>
      <c r="AC323" s="1">
        <f>Z323+AB323</f>
        <v>90000</v>
      </c>
      <c r="AD323" s="41">
        <v>0</v>
      </c>
      <c r="AE323" s="1">
        <f t="shared" si="190"/>
        <v>-90000</v>
      </c>
      <c r="AF323" s="1">
        <f t="shared" si="191"/>
        <v>0</v>
      </c>
    </row>
    <row r="324" spans="1:32" s="9" customFormat="1">
      <c r="A324" s="71"/>
      <c r="B324" s="71"/>
      <c r="C324" s="71" t="s">
        <v>868</v>
      </c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>
        <f>SUM(AC2:AC323)</f>
        <v>18050230.270000007</v>
      </c>
      <c r="AD324" s="72">
        <f t="shared" ref="AD324:AF324" si="192">SUM(AD2:AD323)</f>
        <v>18443005.860000011</v>
      </c>
      <c r="AE324" s="72">
        <f t="shared" si="192"/>
        <v>392775.59000000037</v>
      </c>
      <c r="AF324" s="72">
        <f t="shared" si="192"/>
        <v>18443005.860000011</v>
      </c>
    </row>
    <row r="325" spans="1:32" s="9" customFormat="1">
      <c r="A325" s="11">
        <v>13200</v>
      </c>
      <c r="B325" s="60">
        <v>20200</v>
      </c>
      <c r="C325" s="56" t="s">
        <v>906</v>
      </c>
      <c r="D325" s="62"/>
      <c r="E325" s="62"/>
      <c r="F325" s="62"/>
      <c r="G325" s="62"/>
      <c r="H325" s="62"/>
      <c r="I325" s="62"/>
      <c r="J325" s="62"/>
      <c r="K325" s="62"/>
      <c r="L325" s="62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1"/>
      <c r="Y325" s="41"/>
      <c r="Z325" s="1"/>
      <c r="AA325" s="1"/>
      <c r="AB325" s="1"/>
      <c r="AC325" s="1">
        <v>0</v>
      </c>
      <c r="AD325" s="41">
        <f>3000*1.21*12</f>
        <v>43560</v>
      </c>
      <c r="AE325" s="1">
        <f t="shared" ref="AE325" si="193">AD325-AC325</f>
        <v>43560</v>
      </c>
      <c r="AF325" s="1">
        <f t="shared" ref="AF325" si="194">AC325+AE325</f>
        <v>43560</v>
      </c>
    </row>
    <row r="326" spans="1:32" s="9" customFormat="1">
      <c r="A326" s="42">
        <v>17100</v>
      </c>
      <c r="B326" s="60">
        <v>20200</v>
      </c>
      <c r="C326" s="56" t="s">
        <v>906</v>
      </c>
      <c r="D326" s="62"/>
      <c r="E326" s="64"/>
      <c r="F326" s="62"/>
      <c r="G326" s="64"/>
      <c r="H326" s="62"/>
      <c r="I326" s="64"/>
      <c r="J326" s="62"/>
      <c r="K326" s="64"/>
      <c r="L326" s="62"/>
      <c r="M326" s="63"/>
      <c r="N326" s="53"/>
      <c r="O326" s="53"/>
      <c r="P326" s="53"/>
      <c r="Q326" s="53"/>
      <c r="R326" s="58"/>
      <c r="S326" s="53"/>
      <c r="T326" s="53"/>
      <c r="U326" s="63"/>
      <c r="V326" s="53"/>
      <c r="W326" s="53"/>
      <c r="X326" s="1"/>
      <c r="Y326" s="41"/>
      <c r="Z326" s="1"/>
      <c r="AA326" s="41"/>
      <c r="AB326" s="1"/>
      <c r="AC326" s="1">
        <v>0</v>
      </c>
      <c r="AD326" s="41">
        <f>2000*1.21*9</f>
        <v>21780</v>
      </c>
      <c r="AE326" s="1">
        <f t="shared" ref="AE326" si="195">AD326-AC326</f>
        <v>21780</v>
      </c>
      <c r="AF326" s="1">
        <f t="shared" ref="AF326" si="196">AC326+AE326</f>
        <v>21780</v>
      </c>
    </row>
    <row r="327" spans="1:32">
      <c r="A327" s="11">
        <v>23112</v>
      </c>
      <c r="B327" s="11">
        <v>20200</v>
      </c>
      <c r="C327" s="11" t="s">
        <v>89</v>
      </c>
      <c r="D327" s="7">
        <v>0</v>
      </c>
      <c r="E327" s="7">
        <f>33023.16*1.17/1.16</f>
        <v>33307.842413793107</v>
      </c>
      <c r="F327" s="7">
        <f>D327-E327</f>
        <v>-33307.842413793107</v>
      </c>
      <c r="G327" s="7">
        <v>33307.839999999997</v>
      </c>
      <c r="H327" s="10">
        <f>D327+G327</f>
        <v>33307.839999999997</v>
      </c>
      <c r="I327" s="16"/>
      <c r="J327" s="16">
        <f>H327-I327</f>
        <v>33307.839999999997</v>
      </c>
      <c r="K327" s="16"/>
      <c r="L327" s="1">
        <f>H327+K327</f>
        <v>33307.839999999997</v>
      </c>
      <c r="N327" s="1">
        <f>L327+M327</f>
        <v>33307.839999999997</v>
      </c>
      <c r="O327" s="1"/>
      <c r="Q327" s="1">
        <f>N327+P327</f>
        <v>33307.839999999997</v>
      </c>
      <c r="R327" s="1">
        <f>12443+17070</f>
        <v>29513</v>
      </c>
      <c r="T327" s="1">
        <f>Q327+S327</f>
        <v>33307.839999999997</v>
      </c>
      <c r="U327" s="1">
        <v>35422.49</v>
      </c>
      <c r="V327" s="1">
        <f>U327-T327</f>
        <v>2114.6500000000015</v>
      </c>
      <c r="W327" s="1">
        <f>T327+V327</f>
        <v>35422.49</v>
      </c>
      <c r="X327" s="1">
        <v>35662.75</v>
      </c>
      <c r="Y327" s="41">
        <f>X327-W327</f>
        <v>240.26000000000204</v>
      </c>
      <c r="Z327" s="1">
        <f>W327+Y327</f>
        <v>35662.75</v>
      </c>
      <c r="AA327" s="1">
        <v>35662.75</v>
      </c>
      <c r="AB327" s="1">
        <f>AA327-Z327</f>
        <v>0</v>
      </c>
      <c r="AC327" s="1">
        <f>Z327+AB327</f>
        <v>35662.75</v>
      </c>
      <c r="AD327" s="41">
        <f>AC327-20466.52</f>
        <v>15196.23</v>
      </c>
      <c r="AE327" s="1">
        <f t="shared" ref="AE327:AE390" si="197">AD327-AC327</f>
        <v>-20466.52</v>
      </c>
      <c r="AF327" s="1">
        <f t="shared" ref="AF327:AF390" si="198">AC327+AE327</f>
        <v>15196.23</v>
      </c>
    </row>
    <row r="328" spans="1:32">
      <c r="A328" s="11">
        <v>32000</v>
      </c>
      <c r="B328" s="11">
        <v>20200</v>
      </c>
      <c r="C328" s="11" t="s">
        <v>535</v>
      </c>
      <c r="D328" s="7">
        <v>48720</v>
      </c>
      <c r="E328" s="7">
        <f>48720*1.17/1.16</f>
        <v>49140</v>
      </c>
      <c r="F328" s="7">
        <f>D328-E328</f>
        <v>-420</v>
      </c>
      <c r="G328" s="7">
        <v>420</v>
      </c>
      <c r="H328" s="7">
        <f>D328+G328</f>
        <v>49140</v>
      </c>
      <c r="I328" s="1"/>
      <c r="J328" s="1">
        <f>H328-I328</f>
        <v>49140</v>
      </c>
      <c r="K328" s="1"/>
      <c r="L328" s="1">
        <f>H328+K328</f>
        <v>49140</v>
      </c>
      <c r="N328" s="1">
        <f>L328+M328</f>
        <v>49140</v>
      </c>
      <c r="O328" s="1"/>
      <c r="P328" s="3"/>
      <c r="Q328" s="1">
        <f>N328+P328</f>
        <v>49140</v>
      </c>
      <c r="R328" s="41">
        <v>49622</v>
      </c>
      <c r="S328" s="41">
        <f>R328-Q328</f>
        <v>482</v>
      </c>
      <c r="T328" s="1">
        <f>Q328+S328</f>
        <v>49622</v>
      </c>
      <c r="U328" s="41">
        <v>65379.6</v>
      </c>
      <c r="V328" s="1">
        <f>U328-T328</f>
        <v>15757.599999999999</v>
      </c>
      <c r="W328" s="1">
        <f>T328+V328</f>
        <v>65379.6</v>
      </c>
      <c r="X328" s="41">
        <v>68648.639999999999</v>
      </c>
      <c r="Y328" s="41">
        <f>X328-W328</f>
        <v>3269.0400000000009</v>
      </c>
      <c r="Z328" s="1">
        <f>W328+Y328</f>
        <v>68648.639999999999</v>
      </c>
      <c r="AA328" s="41">
        <v>68648.639999999999</v>
      </c>
      <c r="AB328" s="41">
        <f>AA328-Z328</f>
        <v>0</v>
      </c>
      <c r="AC328" s="1">
        <f>Z328+AB328</f>
        <v>68648.639999999999</v>
      </c>
      <c r="AD328" s="41">
        <v>68648.639999999999</v>
      </c>
      <c r="AE328" s="1">
        <f t="shared" si="197"/>
        <v>0</v>
      </c>
      <c r="AF328" s="1">
        <f t="shared" si="198"/>
        <v>68648.639999999999</v>
      </c>
    </row>
    <row r="329" spans="1:32">
      <c r="A329" s="11">
        <v>33800</v>
      </c>
      <c r="B329" s="59">
        <v>20200</v>
      </c>
      <c r="C329" s="55" t="s">
        <v>906</v>
      </c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Y329" s="41"/>
      <c r="Z329" s="1"/>
      <c r="AB329" s="1"/>
      <c r="AC329" s="1">
        <v>0</v>
      </c>
      <c r="AD329" s="41">
        <f>1409.54*1.21*12</f>
        <v>20466.520799999998</v>
      </c>
      <c r="AE329" s="1">
        <f t="shared" si="197"/>
        <v>20466.520799999998</v>
      </c>
      <c r="AF329" s="1">
        <f t="shared" si="198"/>
        <v>20466.520799999998</v>
      </c>
    </row>
    <row r="330" spans="1:32">
      <c r="A330" s="11">
        <v>34000</v>
      </c>
      <c r="B330" s="59">
        <v>20200</v>
      </c>
      <c r="C330" s="55" t="s">
        <v>930</v>
      </c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Y330" s="41"/>
      <c r="Z330" s="1"/>
      <c r="AB330" s="1"/>
      <c r="AC330" s="1">
        <v>0</v>
      </c>
      <c r="AD330" s="41">
        <f>61921.86+19534.68</f>
        <v>81456.540000000008</v>
      </c>
      <c r="AE330" s="1">
        <f t="shared" si="197"/>
        <v>81456.540000000008</v>
      </c>
      <c r="AF330" s="1">
        <f t="shared" si="198"/>
        <v>81456.540000000008</v>
      </c>
    </row>
    <row r="331" spans="1:32" s="2" customFormat="1">
      <c r="A331" s="11">
        <v>92000</v>
      </c>
      <c r="B331" s="11">
        <v>20200</v>
      </c>
      <c r="C331" s="11" t="s">
        <v>242</v>
      </c>
      <c r="D331" s="7">
        <v>19016.8</v>
      </c>
      <c r="E331" s="7">
        <f>14911.68*1.17/1.16</f>
        <v>15040.228965517243</v>
      </c>
      <c r="F331" s="7">
        <f>D331-E331</f>
        <v>3976.5710344827567</v>
      </c>
      <c r="G331" s="7">
        <v>-3976.57</v>
      </c>
      <c r="H331" s="7">
        <f>D331+G331</f>
        <v>15040.23</v>
      </c>
      <c r="I331" s="1"/>
      <c r="J331" s="1">
        <f>H331-I331</f>
        <v>15040.23</v>
      </c>
      <c r="K331" s="1"/>
      <c r="L331" s="1">
        <f>H331+K331</f>
        <v>15040.23</v>
      </c>
      <c r="M331" s="7"/>
      <c r="N331" s="1">
        <f>L331+M331</f>
        <v>15040.23</v>
      </c>
      <c r="O331" s="1"/>
      <c r="P331" s="3"/>
      <c r="Q331" s="1">
        <f>N331+P331</f>
        <v>15040.23</v>
      </c>
      <c r="R331" s="41">
        <v>13818</v>
      </c>
      <c r="S331" s="3"/>
      <c r="T331" s="1">
        <f>Q331+S331</f>
        <v>15040.23</v>
      </c>
      <c r="U331" s="41">
        <v>16807.23</v>
      </c>
      <c r="V331" s="1">
        <f>U331-T331</f>
        <v>1767</v>
      </c>
      <c r="W331" s="1">
        <f>T331+V331</f>
        <v>16807.23</v>
      </c>
      <c r="X331" s="41">
        <v>16807.23</v>
      </c>
      <c r="Y331" s="41">
        <f t="shared" ref="Y331:Y357" si="199">X331-W331</f>
        <v>0</v>
      </c>
      <c r="Z331" s="1">
        <f t="shared" ref="Z331:Z357" si="200">W331+Y331</f>
        <v>16807.23</v>
      </c>
      <c r="AA331" s="41">
        <v>16900</v>
      </c>
      <c r="AB331" s="1">
        <f t="shared" ref="AB331:AB362" si="201">AA331-Z331</f>
        <v>92.770000000000437</v>
      </c>
      <c r="AC331" s="1">
        <f t="shared" ref="AC331:AC362" si="202">Z331+AB331</f>
        <v>16900</v>
      </c>
      <c r="AD331" s="41">
        <v>16900</v>
      </c>
      <c r="AE331" s="1">
        <f t="shared" si="197"/>
        <v>0</v>
      </c>
      <c r="AF331" s="1">
        <f t="shared" si="198"/>
        <v>16900</v>
      </c>
    </row>
    <row r="332" spans="1:32">
      <c r="A332" s="11">
        <v>13000</v>
      </c>
      <c r="B332" s="11">
        <v>20300</v>
      </c>
      <c r="C332" s="11" t="s">
        <v>268</v>
      </c>
      <c r="D332" s="7">
        <v>706.79</v>
      </c>
      <c r="E332" s="7"/>
      <c r="F332" s="7">
        <f>D332-E332</f>
        <v>706.79</v>
      </c>
      <c r="G332" s="7"/>
      <c r="H332" s="7">
        <f>D332+G332</f>
        <v>706.79</v>
      </c>
      <c r="I332" s="1"/>
      <c r="J332" s="1">
        <f>H332-I332</f>
        <v>706.79</v>
      </c>
      <c r="K332" s="1"/>
      <c r="L332" s="1">
        <f>H332+K332</f>
        <v>706.79</v>
      </c>
      <c r="N332" s="1">
        <f>L332+M332</f>
        <v>706.79</v>
      </c>
      <c r="O332" s="1"/>
      <c r="Q332" s="1">
        <f>N332+P332</f>
        <v>706.79</v>
      </c>
      <c r="T332" s="1">
        <f>Q332+S332</f>
        <v>706.79</v>
      </c>
      <c r="U332" s="1">
        <v>1000</v>
      </c>
      <c r="V332" s="1">
        <f>U332-T332</f>
        <v>293.21000000000004</v>
      </c>
      <c r="W332" s="1">
        <f>T332+V332</f>
        <v>1000</v>
      </c>
      <c r="X332" s="1">
        <v>1000</v>
      </c>
      <c r="Y332" s="41">
        <f t="shared" si="199"/>
        <v>0</v>
      </c>
      <c r="Z332" s="1">
        <f t="shared" si="200"/>
        <v>1000</v>
      </c>
      <c r="AA332" s="1">
        <v>1200</v>
      </c>
      <c r="AB332" s="1">
        <f t="shared" si="201"/>
        <v>200</v>
      </c>
      <c r="AC332" s="1">
        <f t="shared" si="202"/>
        <v>1200</v>
      </c>
      <c r="AD332" s="41">
        <v>3000</v>
      </c>
      <c r="AE332" s="1">
        <f t="shared" si="197"/>
        <v>1800</v>
      </c>
      <c r="AF332" s="1">
        <f t="shared" si="198"/>
        <v>3000</v>
      </c>
    </row>
    <row r="333" spans="1:32">
      <c r="A333" s="11">
        <v>13200</v>
      </c>
      <c r="B333" s="11">
        <v>20300</v>
      </c>
      <c r="C333" s="11" t="s">
        <v>300</v>
      </c>
      <c r="D333" s="7">
        <v>15000</v>
      </c>
      <c r="E333" s="7">
        <v>10000</v>
      </c>
      <c r="F333" s="7">
        <f>D333-E333</f>
        <v>5000</v>
      </c>
      <c r="G333" s="7">
        <v>-5000</v>
      </c>
      <c r="H333" s="7">
        <f>D333+G333</f>
        <v>10000</v>
      </c>
      <c r="I333" s="1"/>
      <c r="J333" s="1">
        <f>H333-I333</f>
        <v>10000</v>
      </c>
      <c r="K333" s="1">
        <v>15000</v>
      </c>
      <c r="L333" s="1">
        <f>H333+K333</f>
        <v>25000</v>
      </c>
      <c r="M333" s="7">
        <v>5000</v>
      </c>
      <c r="N333" s="1">
        <f>L333+M333</f>
        <v>30000</v>
      </c>
      <c r="O333" s="1"/>
      <c r="P333" s="1">
        <v>5000</v>
      </c>
      <c r="Q333" s="1">
        <f>N333+P333</f>
        <v>35000</v>
      </c>
      <c r="S333" s="1">
        <v>-20000</v>
      </c>
      <c r="T333" s="1">
        <f>Q333+S333</f>
        <v>15000</v>
      </c>
      <c r="U333" s="1">
        <v>20000</v>
      </c>
      <c r="V333" s="1">
        <f>U333-T333</f>
        <v>5000</v>
      </c>
      <c r="W333" s="1">
        <f>T333+V333</f>
        <v>20000</v>
      </c>
      <c r="X333" s="1">
        <v>25000</v>
      </c>
      <c r="Y333" s="41">
        <f t="shared" si="199"/>
        <v>5000</v>
      </c>
      <c r="Z333" s="1">
        <f t="shared" si="200"/>
        <v>25000</v>
      </c>
      <c r="AA333" s="1">
        <v>25000</v>
      </c>
      <c r="AB333" s="1">
        <f t="shared" si="201"/>
        <v>0</v>
      </c>
      <c r="AC333" s="1">
        <f t="shared" si="202"/>
        <v>25000</v>
      </c>
      <c r="AD333" s="41">
        <v>10000</v>
      </c>
      <c r="AE333" s="1">
        <f t="shared" si="197"/>
        <v>-15000</v>
      </c>
      <c r="AF333" s="1">
        <f t="shared" si="198"/>
        <v>10000</v>
      </c>
    </row>
    <row r="334" spans="1:32">
      <c r="A334" s="11">
        <v>13300</v>
      </c>
      <c r="B334" s="11">
        <v>20300</v>
      </c>
      <c r="C334" s="42" t="s">
        <v>689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47">
        <v>0</v>
      </c>
      <c r="R334" s="3">
        <v>0</v>
      </c>
      <c r="S334" s="47">
        <v>15000</v>
      </c>
      <c r="T334" s="1">
        <f>Q334+S334</f>
        <v>15000</v>
      </c>
      <c r="U334" s="1">
        <f>R334+T334</f>
        <v>15000</v>
      </c>
      <c r="V334" s="1">
        <f>U334-T334</f>
        <v>0</v>
      </c>
      <c r="W334" s="1">
        <f>T334+V334</f>
        <v>15000</v>
      </c>
      <c r="X334" s="41">
        <v>15000</v>
      </c>
      <c r="Y334" s="41">
        <f t="shared" si="199"/>
        <v>0</v>
      </c>
      <c r="Z334" s="1">
        <f t="shared" si="200"/>
        <v>15000</v>
      </c>
      <c r="AA334" s="41">
        <v>5000</v>
      </c>
      <c r="AB334" s="41">
        <f t="shared" si="201"/>
        <v>-10000</v>
      </c>
      <c r="AC334" s="1">
        <f t="shared" si="202"/>
        <v>5000</v>
      </c>
      <c r="AD334" s="41">
        <v>9000</v>
      </c>
      <c r="AE334" s="1">
        <f t="shared" si="197"/>
        <v>4000</v>
      </c>
      <c r="AF334" s="1">
        <f t="shared" si="198"/>
        <v>9000</v>
      </c>
    </row>
    <row r="335" spans="1:32" s="2" customFormat="1">
      <c r="A335" s="11">
        <v>15100</v>
      </c>
      <c r="B335" s="60">
        <v>20300</v>
      </c>
      <c r="C335" s="56" t="s">
        <v>781</v>
      </c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>
        <v>0</v>
      </c>
      <c r="X335" s="1">
        <v>3000</v>
      </c>
      <c r="Y335" s="41">
        <f t="shared" si="199"/>
        <v>3000</v>
      </c>
      <c r="Z335" s="1">
        <f t="shared" si="200"/>
        <v>3000</v>
      </c>
      <c r="AA335" s="1">
        <v>3000</v>
      </c>
      <c r="AB335" s="1">
        <f t="shared" si="201"/>
        <v>0</v>
      </c>
      <c r="AC335" s="1">
        <f t="shared" si="202"/>
        <v>3000</v>
      </c>
      <c r="AD335" s="41">
        <v>900</v>
      </c>
      <c r="AE335" s="1">
        <f t="shared" si="197"/>
        <v>-2100</v>
      </c>
      <c r="AF335" s="1">
        <f t="shared" si="198"/>
        <v>900</v>
      </c>
    </row>
    <row r="336" spans="1:32">
      <c r="A336" s="42">
        <v>16400</v>
      </c>
      <c r="B336" s="19">
        <v>20300</v>
      </c>
      <c r="C336" s="48" t="s">
        <v>692</v>
      </c>
      <c r="D336" s="20"/>
      <c r="E336" s="20"/>
      <c r="F336" s="20"/>
      <c r="G336" s="20"/>
      <c r="H336" s="20"/>
      <c r="I336" s="21"/>
      <c r="J336" s="21"/>
      <c r="K336" s="22"/>
      <c r="L336" s="21"/>
      <c r="N336" s="1"/>
      <c r="O336" s="1"/>
      <c r="Q336" s="1">
        <v>0</v>
      </c>
      <c r="S336" s="1">
        <v>2000</v>
      </c>
      <c r="T336" s="1">
        <f t="shared" ref="T336:U343" si="203">Q336+S336</f>
        <v>2000</v>
      </c>
      <c r="U336" s="1">
        <f t="shared" si="203"/>
        <v>2000</v>
      </c>
      <c r="V336" s="1">
        <f t="shared" ref="V336:V357" si="204">U336-T336</f>
        <v>0</v>
      </c>
      <c r="W336" s="1">
        <f t="shared" ref="W336:W357" si="205">T336+V336</f>
        <v>2000</v>
      </c>
      <c r="X336" s="1">
        <v>2000</v>
      </c>
      <c r="Y336" s="41">
        <f t="shared" si="199"/>
        <v>0</v>
      </c>
      <c r="Z336" s="1">
        <f t="shared" si="200"/>
        <v>2000</v>
      </c>
      <c r="AA336" s="1">
        <v>2000</v>
      </c>
      <c r="AB336" s="1">
        <f t="shared" si="201"/>
        <v>0</v>
      </c>
      <c r="AC336" s="1">
        <f t="shared" si="202"/>
        <v>2000</v>
      </c>
      <c r="AD336" s="41">
        <v>2000</v>
      </c>
      <c r="AE336" s="1">
        <f t="shared" si="197"/>
        <v>0</v>
      </c>
      <c r="AF336" s="1">
        <f t="shared" si="198"/>
        <v>2000</v>
      </c>
    </row>
    <row r="337" spans="1:32">
      <c r="A337" s="13">
        <v>16500</v>
      </c>
      <c r="B337" s="11">
        <v>20300</v>
      </c>
      <c r="C337" s="11" t="s">
        <v>344</v>
      </c>
      <c r="D337" s="7">
        <v>800</v>
      </c>
      <c r="E337" s="7"/>
      <c r="F337" s="7">
        <f>D337-E337</f>
        <v>800</v>
      </c>
      <c r="G337" s="7"/>
      <c r="H337" s="7">
        <f>D337+G337</f>
        <v>800</v>
      </c>
      <c r="I337" s="1"/>
      <c r="J337" s="1">
        <f>H337-I337</f>
        <v>800</v>
      </c>
      <c r="K337" s="1"/>
      <c r="L337" s="1">
        <f>H337+K337</f>
        <v>800</v>
      </c>
      <c r="N337" s="1">
        <f t="shared" ref="N337:N343" si="206">L337+M337</f>
        <v>800</v>
      </c>
      <c r="O337" s="1"/>
      <c r="Q337" s="1">
        <f t="shared" ref="Q337:Q343" si="207">N337+P337</f>
        <v>800</v>
      </c>
      <c r="T337" s="1">
        <f t="shared" si="203"/>
        <v>800</v>
      </c>
      <c r="U337" s="1">
        <f t="shared" si="203"/>
        <v>800</v>
      </c>
      <c r="V337" s="1">
        <f t="shared" si="204"/>
        <v>0</v>
      </c>
      <c r="W337" s="1">
        <f t="shared" si="205"/>
        <v>800</v>
      </c>
      <c r="X337" s="1">
        <v>1500</v>
      </c>
      <c r="Y337" s="41">
        <f t="shared" si="199"/>
        <v>700</v>
      </c>
      <c r="Z337" s="1">
        <f t="shared" si="200"/>
        <v>1500</v>
      </c>
      <c r="AA337" s="1">
        <f>X337+Z337</f>
        <v>3000</v>
      </c>
      <c r="AB337" s="1">
        <f t="shared" si="201"/>
        <v>1500</v>
      </c>
      <c r="AC337" s="1">
        <f t="shared" si="202"/>
        <v>3000</v>
      </c>
      <c r="AD337" s="41">
        <v>3300</v>
      </c>
      <c r="AE337" s="1">
        <f t="shared" si="197"/>
        <v>300</v>
      </c>
      <c r="AF337" s="1">
        <f t="shared" si="198"/>
        <v>3300</v>
      </c>
    </row>
    <row r="338" spans="1:32">
      <c r="A338" s="13">
        <v>17000</v>
      </c>
      <c r="B338" s="11">
        <v>20300</v>
      </c>
      <c r="C338" s="11" t="s">
        <v>344</v>
      </c>
      <c r="D338" s="7">
        <v>2554.3000000000002</v>
      </c>
      <c r="E338" s="7"/>
      <c r="F338" s="7">
        <f>D338-E338</f>
        <v>2554.3000000000002</v>
      </c>
      <c r="G338" s="7"/>
      <c r="H338" s="7">
        <f>D338+G338</f>
        <v>2554.3000000000002</v>
      </c>
      <c r="I338" s="1"/>
      <c r="J338" s="1">
        <f>H338-I338</f>
        <v>2554.3000000000002</v>
      </c>
      <c r="K338" s="1"/>
      <c r="L338" s="1">
        <f>H338+K338</f>
        <v>2554.3000000000002</v>
      </c>
      <c r="N338" s="1">
        <f t="shared" si="206"/>
        <v>2554.3000000000002</v>
      </c>
      <c r="O338" s="1"/>
      <c r="Q338" s="1">
        <f t="shared" si="207"/>
        <v>2554.3000000000002</v>
      </c>
      <c r="S338" s="1">
        <v>15000</v>
      </c>
      <c r="T338" s="1">
        <f t="shared" si="203"/>
        <v>17554.3</v>
      </c>
      <c r="U338" s="1">
        <f t="shared" si="203"/>
        <v>17554.3</v>
      </c>
      <c r="V338" s="1">
        <f t="shared" si="204"/>
        <v>0</v>
      </c>
      <c r="W338" s="1">
        <f t="shared" si="205"/>
        <v>17554.3</v>
      </c>
      <c r="X338" s="1">
        <v>18000</v>
      </c>
      <c r="Y338" s="41">
        <f t="shared" si="199"/>
        <v>445.70000000000073</v>
      </c>
      <c r="Z338" s="1">
        <f t="shared" si="200"/>
        <v>18000</v>
      </c>
      <c r="AA338" s="1">
        <v>9000</v>
      </c>
      <c r="AB338" s="1">
        <f t="shared" si="201"/>
        <v>-9000</v>
      </c>
      <c r="AC338" s="1">
        <f t="shared" si="202"/>
        <v>9000</v>
      </c>
      <c r="AD338" s="41">
        <v>0</v>
      </c>
      <c r="AE338" s="1">
        <f t="shared" si="197"/>
        <v>-9000</v>
      </c>
      <c r="AF338" s="1">
        <f t="shared" si="198"/>
        <v>0</v>
      </c>
    </row>
    <row r="339" spans="1:32">
      <c r="A339" s="13">
        <v>17100</v>
      </c>
      <c r="B339" s="11">
        <v>20300</v>
      </c>
      <c r="C339" s="11" t="s">
        <v>394</v>
      </c>
      <c r="D339" s="7">
        <v>18525.3</v>
      </c>
      <c r="E339" s="7"/>
      <c r="F339" s="7">
        <f>D339-E339</f>
        <v>18525.3</v>
      </c>
      <c r="G339" s="7">
        <v>-8525.2999999999993</v>
      </c>
      <c r="H339" s="7">
        <f>D339+G339</f>
        <v>10000</v>
      </c>
      <c r="I339" s="1"/>
      <c r="J339" s="1">
        <f>H339-I339</f>
        <v>10000</v>
      </c>
      <c r="K339" s="1"/>
      <c r="L339" s="1">
        <f>H339+K339</f>
        <v>10000</v>
      </c>
      <c r="N339" s="1">
        <f t="shared" si="206"/>
        <v>10000</v>
      </c>
      <c r="O339" s="1"/>
      <c r="Q339" s="1">
        <f t="shared" si="207"/>
        <v>10000</v>
      </c>
      <c r="S339" s="1">
        <v>5000</v>
      </c>
      <c r="T339" s="1">
        <f t="shared" si="203"/>
        <v>15000</v>
      </c>
      <c r="U339" s="1">
        <f t="shared" si="203"/>
        <v>15000</v>
      </c>
      <c r="V339" s="1">
        <f t="shared" si="204"/>
        <v>0</v>
      </c>
      <c r="W339" s="1">
        <f t="shared" si="205"/>
        <v>15000</v>
      </c>
      <c r="X339" s="1">
        <v>10000</v>
      </c>
      <c r="Y339" s="41">
        <f t="shared" si="199"/>
        <v>-5000</v>
      </c>
      <c r="Z339" s="1">
        <f t="shared" si="200"/>
        <v>10000</v>
      </c>
      <c r="AA339" s="1">
        <v>10000</v>
      </c>
      <c r="AB339" s="1">
        <f t="shared" si="201"/>
        <v>0</v>
      </c>
      <c r="AC339" s="1">
        <f t="shared" si="202"/>
        <v>10000</v>
      </c>
      <c r="AD339" s="41">
        <v>25000</v>
      </c>
      <c r="AE339" s="1">
        <f t="shared" si="197"/>
        <v>15000</v>
      </c>
      <c r="AF339" s="1">
        <f t="shared" si="198"/>
        <v>25000</v>
      </c>
    </row>
    <row r="340" spans="1:32">
      <c r="A340" s="13">
        <v>23110</v>
      </c>
      <c r="B340" s="11">
        <v>20300</v>
      </c>
      <c r="C340" s="11" t="s">
        <v>319</v>
      </c>
      <c r="D340" s="8"/>
      <c r="E340" s="8"/>
      <c r="F340" s="8"/>
      <c r="G340" s="8"/>
      <c r="H340" s="8"/>
      <c r="I340" s="8"/>
      <c r="J340" s="8"/>
      <c r="K340" s="8"/>
      <c r="L340" s="10">
        <v>500</v>
      </c>
      <c r="M340" s="10">
        <v>0</v>
      </c>
      <c r="N340" s="7">
        <f t="shared" si="206"/>
        <v>500</v>
      </c>
      <c r="O340" s="7"/>
      <c r="P340" s="3"/>
      <c r="Q340" s="1">
        <f t="shared" si="207"/>
        <v>500</v>
      </c>
      <c r="R340" s="3"/>
      <c r="S340" s="3"/>
      <c r="T340" s="1">
        <f t="shared" si="203"/>
        <v>500</v>
      </c>
      <c r="U340" s="1">
        <f t="shared" si="203"/>
        <v>500</v>
      </c>
      <c r="V340" s="1">
        <f t="shared" si="204"/>
        <v>0</v>
      </c>
      <c r="W340" s="1">
        <f t="shared" si="205"/>
        <v>500</v>
      </c>
      <c r="X340" s="41">
        <v>2500</v>
      </c>
      <c r="Y340" s="41">
        <f t="shared" si="199"/>
        <v>2000</v>
      </c>
      <c r="Z340" s="1">
        <f t="shared" si="200"/>
        <v>2500</v>
      </c>
      <c r="AA340" s="41">
        <v>0</v>
      </c>
      <c r="AB340" s="41">
        <f t="shared" si="201"/>
        <v>-2500</v>
      </c>
      <c r="AC340" s="1">
        <f t="shared" si="202"/>
        <v>0</v>
      </c>
      <c r="AD340" s="41">
        <v>150</v>
      </c>
      <c r="AE340" s="1">
        <f t="shared" si="197"/>
        <v>150</v>
      </c>
      <c r="AF340" s="1">
        <f t="shared" si="198"/>
        <v>150</v>
      </c>
    </row>
    <row r="341" spans="1:32">
      <c r="A341" s="11">
        <v>23112</v>
      </c>
      <c r="B341" s="11">
        <v>20300</v>
      </c>
      <c r="C341" s="11" t="s">
        <v>492</v>
      </c>
      <c r="D341" s="7">
        <v>120.2</v>
      </c>
      <c r="E341" s="7"/>
      <c r="F341" s="7">
        <f>D341-E341</f>
        <v>120.2</v>
      </c>
      <c r="G341" s="7"/>
      <c r="H341" s="10">
        <f>D341+G341</f>
        <v>120.2</v>
      </c>
      <c r="I341" s="16"/>
      <c r="J341" s="16">
        <f>H341-I341</f>
        <v>120.2</v>
      </c>
      <c r="K341" s="16"/>
      <c r="L341" s="1">
        <f>H341+K341</f>
        <v>120.2</v>
      </c>
      <c r="N341" s="1">
        <f t="shared" si="206"/>
        <v>120.2</v>
      </c>
      <c r="O341" s="1"/>
      <c r="Q341" s="1">
        <f t="shared" si="207"/>
        <v>120.2</v>
      </c>
      <c r="T341" s="1">
        <f t="shared" si="203"/>
        <v>120.2</v>
      </c>
      <c r="U341" s="1">
        <f t="shared" si="203"/>
        <v>120.2</v>
      </c>
      <c r="V341" s="1">
        <f t="shared" si="204"/>
        <v>0</v>
      </c>
      <c r="W341" s="1">
        <f t="shared" si="205"/>
        <v>120.2</v>
      </c>
      <c r="X341" s="1">
        <v>100</v>
      </c>
      <c r="Y341" s="41">
        <f t="shared" si="199"/>
        <v>-20.200000000000003</v>
      </c>
      <c r="Z341" s="1">
        <f t="shared" si="200"/>
        <v>100</v>
      </c>
      <c r="AA341" s="1">
        <v>100</v>
      </c>
      <c r="AB341" s="1">
        <f t="shared" si="201"/>
        <v>0</v>
      </c>
      <c r="AC341" s="1">
        <f t="shared" si="202"/>
        <v>100</v>
      </c>
      <c r="AD341" s="41">
        <v>2500</v>
      </c>
      <c r="AE341" s="1">
        <f t="shared" si="197"/>
        <v>2400</v>
      </c>
      <c r="AF341" s="1">
        <f t="shared" si="198"/>
        <v>2500</v>
      </c>
    </row>
    <row r="342" spans="1:32">
      <c r="A342" s="42">
        <v>23113</v>
      </c>
      <c r="B342" s="11">
        <v>20300</v>
      </c>
      <c r="C342" s="11" t="s">
        <v>344</v>
      </c>
      <c r="D342" s="7">
        <v>628.29999999999995</v>
      </c>
      <c r="E342" s="7">
        <v>748.6</v>
      </c>
      <c r="F342" s="7">
        <f>D342-E342</f>
        <v>-120.30000000000007</v>
      </c>
      <c r="G342" s="7">
        <v>120.3</v>
      </c>
      <c r="H342" s="7">
        <f>D342+G342</f>
        <v>748.59999999999991</v>
      </c>
      <c r="I342" s="7"/>
      <c r="J342" s="7">
        <f>H342-I342</f>
        <v>748.59999999999991</v>
      </c>
      <c r="K342" s="7"/>
      <c r="L342" s="7">
        <v>748.6</v>
      </c>
      <c r="M342" s="7">
        <v>0</v>
      </c>
      <c r="N342" s="7">
        <f t="shared" si="206"/>
        <v>748.6</v>
      </c>
      <c r="O342" s="7"/>
      <c r="P342" s="3"/>
      <c r="Q342" s="1">
        <f t="shared" si="207"/>
        <v>748.6</v>
      </c>
      <c r="R342" s="3"/>
      <c r="S342" s="3"/>
      <c r="T342" s="1">
        <f t="shared" si="203"/>
        <v>748.6</v>
      </c>
      <c r="U342" s="1">
        <f t="shared" si="203"/>
        <v>748.6</v>
      </c>
      <c r="V342" s="1">
        <f t="shared" si="204"/>
        <v>0</v>
      </c>
      <c r="W342" s="1">
        <f t="shared" si="205"/>
        <v>748.6</v>
      </c>
      <c r="X342" s="41">
        <v>2500</v>
      </c>
      <c r="Y342" s="41">
        <f t="shared" si="199"/>
        <v>1751.4</v>
      </c>
      <c r="Z342" s="1">
        <f t="shared" si="200"/>
        <v>2500</v>
      </c>
      <c r="AA342" s="41">
        <v>4000</v>
      </c>
      <c r="AB342" s="41">
        <f t="shared" si="201"/>
        <v>1500</v>
      </c>
      <c r="AC342" s="1">
        <f t="shared" si="202"/>
        <v>4000</v>
      </c>
      <c r="AD342" s="41">
        <v>5000</v>
      </c>
      <c r="AE342" s="1">
        <f t="shared" si="197"/>
        <v>1000</v>
      </c>
      <c r="AF342" s="1">
        <f t="shared" si="198"/>
        <v>5000</v>
      </c>
    </row>
    <row r="343" spans="1:32">
      <c r="A343" s="11">
        <v>32000</v>
      </c>
      <c r="B343" s="11">
        <v>20300</v>
      </c>
      <c r="C343" s="11" t="s">
        <v>363</v>
      </c>
      <c r="D343" s="7">
        <v>4080</v>
      </c>
      <c r="E343" s="7"/>
      <c r="F343" s="7">
        <f>D343-E343</f>
        <v>4080</v>
      </c>
      <c r="G343" s="7"/>
      <c r="H343" s="7">
        <f>D343+G343</f>
        <v>4080</v>
      </c>
      <c r="I343" s="1"/>
      <c r="J343" s="1">
        <f>H343-I343</f>
        <v>4080</v>
      </c>
      <c r="K343" s="1"/>
      <c r="L343" s="1">
        <f>H343+K343</f>
        <v>4080</v>
      </c>
      <c r="N343" s="1">
        <f t="shared" si="206"/>
        <v>4080</v>
      </c>
      <c r="O343" s="1"/>
      <c r="P343" s="3"/>
      <c r="Q343" s="1">
        <f t="shared" si="207"/>
        <v>4080</v>
      </c>
      <c r="R343" s="3"/>
      <c r="S343" s="3"/>
      <c r="T343" s="1">
        <f t="shared" si="203"/>
        <v>4080</v>
      </c>
      <c r="U343" s="1">
        <f t="shared" si="203"/>
        <v>4080</v>
      </c>
      <c r="V343" s="1">
        <f t="shared" si="204"/>
        <v>0</v>
      </c>
      <c r="W343" s="1">
        <f t="shared" si="205"/>
        <v>4080</v>
      </c>
      <c r="X343" s="41">
        <v>3000</v>
      </c>
      <c r="Y343" s="41">
        <f t="shared" si="199"/>
        <v>-1080</v>
      </c>
      <c r="Z343" s="1">
        <f t="shared" si="200"/>
        <v>3000</v>
      </c>
      <c r="AA343" s="41">
        <v>4000</v>
      </c>
      <c r="AB343" s="41">
        <f t="shared" si="201"/>
        <v>1000</v>
      </c>
      <c r="AC343" s="1">
        <f t="shared" si="202"/>
        <v>4000</v>
      </c>
      <c r="AD343" s="41">
        <v>3000</v>
      </c>
      <c r="AE343" s="1">
        <f t="shared" si="197"/>
        <v>-1000</v>
      </c>
      <c r="AF343" s="1">
        <f t="shared" si="198"/>
        <v>3000</v>
      </c>
    </row>
    <row r="344" spans="1:32" s="9" customFormat="1">
      <c r="A344" s="11">
        <v>33400</v>
      </c>
      <c r="B344" s="19">
        <v>20300</v>
      </c>
      <c r="C344" s="48" t="s">
        <v>739</v>
      </c>
      <c r="D344" s="20"/>
      <c r="E344" s="20"/>
      <c r="F344" s="20"/>
      <c r="G344" s="20"/>
      <c r="H344" s="20"/>
      <c r="I344" s="20"/>
      <c r="J344" s="20"/>
      <c r="K344" s="20"/>
      <c r="L344" s="20"/>
      <c r="M344" s="7"/>
      <c r="N344" s="7"/>
      <c r="O344" s="7"/>
      <c r="P344" s="7"/>
      <c r="Q344" s="7"/>
      <c r="R344" s="7"/>
      <c r="S344" s="7"/>
      <c r="T344" s="7">
        <v>0</v>
      </c>
      <c r="U344" s="7">
        <v>50000</v>
      </c>
      <c r="V344" s="7">
        <f t="shared" si="204"/>
        <v>50000</v>
      </c>
      <c r="W344" s="7">
        <f t="shared" si="205"/>
        <v>50000</v>
      </c>
      <c r="X344" s="7">
        <v>50000</v>
      </c>
      <c r="Y344" s="47">
        <f t="shared" si="199"/>
        <v>0</v>
      </c>
      <c r="Z344" s="7">
        <f t="shared" si="200"/>
        <v>50000</v>
      </c>
      <c r="AA344" s="7">
        <v>45100</v>
      </c>
      <c r="AB344" s="7">
        <f t="shared" si="201"/>
        <v>-4900</v>
      </c>
      <c r="AC344" s="7">
        <f t="shared" si="202"/>
        <v>45100</v>
      </c>
      <c r="AD344" s="47">
        <v>45000</v>
      </c>
      <c r="AE344" s="7">
        <f t="shared" si="197"/>
        <v>-100</v>
      </c>
      <c r="AF344" s="7">
        <f t="shared" si="198"/>
        <v>45000</v>
      </c>
    </row>
    <row r="345" spans="1:32" s="9" customFormat="1">
      <c r="A345" s="11">
        <v>33600</v>
      </c>
      <c r="B345" s="11">
        <v>20300</v>
      </c>
      <c r="C345" s="11" t="s">
        <v>460</v>
      </c>
      <c r="D345" s="7">
        <v>2404.0500000000002</v>
      </c>
      <c r="E345" s="7"/>
      <c r="F345" s="7">
        <f t="shared" ref="F345:F355" si="208">D345-E345</f>
        <v>2404.0500000000002</v>
      </c>
      <c r="G345" s="7"/>
      <c r="H345" s="7">
        <f t="shared" ref="H345:H355" si="209">D345+G345</f>
        <v>2404.0500000000002</v>
      </c>
      <c r="I345" s="1"/>
      <c r="J345" s="1">
        <f t="shared" ref="J345:J355" si="210">H345-I345</f>
        <v>2404.0500000000002</v>
      </c>
      <c r="K345" s="1"/>
      <c r="L345" s="1">
        <f>H345+K345</f>
        <v>2404.0500000000002</v>
      </c>
      <c r="M345" s="7"/>
      <c r="N345" s="1">
        <f t="shared" ref="N345:N355" si="211">L345+M345</f>
        <v>2404.0500000000002</v>
      </c>
      <c r="O345" s="1"/>
      <c r="P345" s="1"/>
      <c r="Q345" s="1">
        <f t="shared" ref="Q345:Q355" si="212">N345+P345</f>
        <v>2404.0500000000002</v>
      </c>
      <c r="R345" s="1"/>
      <c r="S345" s="1"/>
      <c r="T345" s="1">
        <f t="shared" ref="T345:U347" si="213">Q345+S345</f>
        <v>2404.0500000000002</v>
      </c>
      <c r="U345" s="1">
        <f t="shared" si="213"/>
        <v>2404.0500000000002</v>
      </c>
      <c r="V345" s="1">
        <f t="shared" si="204"/>
        <v>0</v>
      </c>
      <c r="W345" s="1">
        <f t="shared" si="205"/>
        <v>2404.0500000000002</v>
      </c>
      <c r="X345" s="1">
        <v>2000</v>
      </c>
      <c r="Y345" s="41">
        <f t="shared" si="199"/>
        <v>-404.05000000000018</v>
      </c>
      <c r="Z345" s="1">
        <f t="shared" si="200"/>
        <v>2000</v>
      </c>
      <c r="AA345" s="1">
        <v>2000</v>
      </c>
      <c r="AB345" s="1">
        <f t="shared" si="201"/>
        <v>0</v>
      </c>
      <c r="AC345" s="1">
        <f t="shared" si="202"/>
        <v>2000</v>
      </c>
      <c r="AD345" s="41">
        <v>5000</v>
      </c>
      <c r="AE345" s="1">
        <f t="shared" si="197"/>
        <v>3000</v>
      </c>
      <c r="AF345" s="1">
        <f t="shared" si="198"/>
        <v>5000</v>
      </c>
    </row>
    <row r="346" spans="1:32" s="9" customFormat="1">
      <c r="A346" s="11">
        <v>33700</v>
      </c>
      <c r="B346" s="11">
        <v>20300</v>
      </c>
      <c r="C346" s="11" t="s">
        <v>344</v>
      </c>
      <c r="D346" s="7">
        <v>2000</v>
      </c>
      <c r="E346" s="7"/>
      <c r="F346" s="7">
        <f t="shared" si="208"/>
        <v>2000</v>
      </c>
      <c r="G346" s="7"/>
      <c r="H346" s="7">
        <f t="shared" si="209"/>
        <v>2000</v>
      </c>
      <c r="I346" s="1"/>
      <c r="J346" s="1">
        <f t="shared" si="210"/>
        <v>2000</v>
      </c>
      <c r="K346" s="1"/>
      <c r="L346" s="1">
        <f>H346+K346</f>
        <v>2000</v>
      </c>
      <c r="M346" s="7"/>
      <c r="N346" s="1">
        <f t="shared" si="211"/>
        <v>2000</v>
      </c>
      <c r="O346" s="1"/>
      <c r="P346" s="1"/>
      <c r="Q346" s="1">
        <f t="shared" si="212"/>
        <v>2000</v>
      </c>
      <c r="R346" s="1"/>
      <c r="S346" s="1"/>
      <c r="T346" s="1">
        <f t="shared" si="213"/>
        <v>2000</v>
      </c>
      <c r="U346" s="1">
        <f t="shared" si="213"/>
        <v>2000</v>
      </c>
      <c r="V346" s="1">
        <f t="shared" si="204"/>
        <v>0</v>
      </c>
      <c r="W346" s="1">
        <f t="shared" si="205"/>
        <v>2000</v>
      </c>
      <c r="X346" s="1">
        <v>2000</v>
      </c>
      <c r="Y346" s="41">
        <f t="shared" si="199"/>
        <v>0</v>
      </c>
      <c r="Z346" s="1">
        <f t="shared" si="200"/>
        <v>2000</v>
      </c>
      <c r="AA346" s="1">
        <v>2000</v>
      </c>
      <c r="AB346" s="1">
        <f t="shared" si="201"/>
        <v>0</v>
      </c>
      <c r="AC346" s="1">
        <f t="shared" si="202"/>
        <v>2000</v>
      </c>
      <c r="AD346" s="41">
        <v>3000</v>
      </c>
      <c r="AE346" s="1">
        <f t="shared" si="197"/>
        <v>1000</v>
      </c>
      <c r="AF346" s="1">
        <f t="shared" si="198"/>
        <v>3000</v>
      </c>
    </row>
    <row r="347" spans="1:32" s="11" customFormat="1">
      <c r="A347" s="11">
        <v>33710</v>
      </c>
      <c r="B347" s="11">
        <v>20300</v>
      </c>
      <c r="C347" s="11" t="s">
        <v>344</v>
      </c>
      <c r="D347" s="7">
        <v>800</v>
      </c>
      <c r="E347" s="7"/>
      <c r="F347" s="7">
        <f t="shared" si="208"/>
        <v>800</v>
      </c>
      <c r="G347" s="7"/>
      <c r="H347" s="7">
        <f t="shared" si="209"/>
        <v>800</v>
      </c>
      <c r="I347" s="7"/>
      <c r="J347" s="7">
        <f t="shared" si="210"/>
        <v>800</v>
      </c>
      <c r="K347" s="7"/>
      <c r="L347" s="7">
        <v>800</v>
      </c>
      <c r="M347" s="7">
        <v>0</v>
      </c>
      <c r="N347" s="7">
        <f t="shared" si="211"/>
        <v>800</v>
      </c>
      <c r="O347" s="7"/>
      <c r="P347" s="1"/>
      <c r="Q347" s="1">
        <f t="shared" si="212"/>
        <v>800</v>
      </c>
      <c r="R347" s="1"/>
      <c r="S347" s="1"/>
      <c r="T347" s="1">
        <f t="shared" si="213"/>
        <v>800</v>
      </c>
      <c r="U347" s="1">
        <f t="shared" si="213"/>
        <v>800</v>
      </c>
      <c r="V347" s="1">
        <f t="shared" si="204"/>
        <v>0</v>
      </c>
      <c r="W347" s="1">
        <f t="shared" si="205"/>
        <v>800</v>
      </c>
      <c r="X347" s="1">
        <v>800</v>
      </c>
      <c r="Y347" s="41">
        <f t="shared" si="199"/>
        <v>0</v>
      </c>
      <c r="Z347" s="1">
        <f t="shared" si="200"/>
        <v>800</v>
      </c>
      <c r="AA347" s="1">
        <f>X347+Z347</f>
        <v>1600</v>
      </c>
      <c r="AB347" s="1">
        <f t="shared" si="201"/>
        <v>800</v>
      </c>
      <c r="AC347" s="1">
        <f t="shared" si="202"/>
        <v>1600</v>
      </c>
      <c r="AD347" s="41">
        <v>3000</v>
      </c>
      <c r="AE347" s="1">
        <f t="shared" si="197"/>
        <v>1400</v>
      </c>
      <c r="AF347" s="1">
        <f t="shared" si="198"/>
        <v>3000</v>
      </c>
    </row>
    <row r="348" spans="1:32">
      <c r="A348" s="13">
        <v>33800</v>
      </c>
      <c r="B348" s="11">
        <v>20300</v>
      </c>
      <c r="C348" s="11" t="s">
        <v>481</v>
      </c>
      <c r="D348" s="7">
        <v>60000</v>
      </c>
      <c r="E348" s="7"/>
      <c r="F348" s="7">
        <f t="shared" si="208"/>
        <v>60000</v>
      </c>
      <c r="G348" s="7"/>
      <c r="H348" s="7">
        <f t="shared" si="209"/>
        <v>60000</v>
      </c>
      <c r="I348" s="1"/>
      <c r="J348" s="1">
        <f t="shared" si="210"/>
        <v>60000</v>
      </c>
      <c r="K348" s="1"/>
      <c r="L348" s="1">
        <f t="shared" ref="L348:L354" si="214">H348+K348</f>
        <v>60000</v>
      </c>
      <c r="M348" s="10"/>
      <c r="N348" s="1">
        <f t="shared" si="211"/>
        <v>60000</v>
      </c>
      <c r="O348" s="1"/>
      <c r="Q348" s="1">
        <f t="shared" si="212"/>
        <v>60000</v>
      </c>
      <c r="T348" s="1">
        <f t="shared" ref="T348:T357" si="215">Q348+S348</f>
        <v>60000</v>
      </c>
      <c r="U348" s="1">
        <v>80000</v>
      </c>
      <c r="V348" s="1">
        <f t="shared" si="204"/>
        <v>20000</v>
      </c>
      <c r="W348" s="1">
        <f t="shared" si="205"/>
        <v>80000</v>
      </c>
      <c r="X348" s="1">
        <v>80000</v>
      </c>
      <c r="Y348" s="41">
        <f t="shared" si="199"/>
        <v>0</v>
      </c>
      <c r="Z348" s="1">
        <f t="shared" si="200"/>
        <v>80000</v>
      </c>
      <c r="AA348" s="1">
        <v>80000</v>
      </c>
      <c r="AB348" s="1">
        <f t="shared" si="201"/>
        <v>0</v>
      </c>
      <c r="AC348" s="1">
        <f t="shared" si="202"/>
        <v>80000</v>
      </c>
      <c r="AD348" s="41">
        <v>60000</v>
      </c>
      <c r="AE348" s="1">
        <f t="shared" si="197"/>
        <v>-20000</v>
      </c>
      <c r="AF348" s="1">
        <f t="shared" si="198"/>
        <v>60000</v>
      </c>
    </row>
    <row r="349" spans="1:32">
      <c r="A349" s="11">
        <v>34000</v>
      </c>
      <c r="B349" s="11">
        <v>20300</v>
      </c>
      <c r="C349" s="11" t="s">
        <v>344</v>
      </c>
      <c r="D349" s="7">
        <v>20200</v>
      </c>
      <c r="E349" s="7"/>
      <c r="F349" s="7">
        <f t="shared" si="208"/>
        <v>20200</v>
      </c>
      <c r="G349" s="7"/>
      <c r="H349" s="7">
        <f t="shared" si="209"/>
        <v>20200</v>
      </c>
      <c r="I349" s="1"/>
      <c r="J349" s="1">
        <f t="shared" si="210"/>
        <v>20200</v>
      </c>
      <c r="K349" s="1"/>
      <c r="L349" s="1">
        <f t="shared" si="214"/>
        <v>20200</v>
      </c>
      <c r="N349" s="1">
        <f t="shared" si="211"/>
        <v>20200</v>
      </c>
      <c r="O349" s="1"/>
      <c r="Q349" s="1">
        <f t="shared" si="212"/>
        <v>20200</v>
      </c>
      <c r="T349" s="1">
        <f t="shared" si="215"/>
        <v>20200</v>
      </c>
      <c r="U349" s="1">
        <f>R349+T349</f>
        <v>20200</v>
      </c>
      <c r="V349" s="1">
        <f t="shared" si="204"/>
        <v>0</v>
      </c>
      <c r="W349" s="1">
        <f t="shared" si="205"/>
        <v>20200</v>
      </c>
      <c r="X349" s="1">
        <v>20200</v>
      </c>
      <c r="Y349" s="41">
        <f t="shared" si="199"/>
        <v>0</v>
      </c>
      <c r="Z349" s="1">
        <f t="shared" si="200"/>
        <v>20200</v>
      </c>
      <c r="AA349" s="1">
        <v>10000</v>
      </c>
      <c r="AB349" s="1">
        <f t="shared" si="201"/>
        <v>-10200</v>
      </c>
      <c r="AC349" s="1">
        <f t="shared" si="202"/>
        <v>10000</v>
      </c>
      <c r="AD349" s="41">
        <v>10000</v>
      </c>
      <c r="AE349" s="1">
        <f t="shared" si="197"/>
        <v>0</v>
      </c>
      <c r="AF349" s="1">
        <f t="shared" si="198"/>
        <v>10000</v>
      </c>
    </row>
    <row r="350" spans="1:32">
      <c r="A350" s="13">
        <v>43200</v>
      </c>
      <c r="B350" s="11">
        <v>20300</v>
      </c>
      <c r="C350" s="11" t="s">
        <v>344</v>
      </c>
      <c r="D350" s="7">
        <v>3264</v>
      </c>
      <c r="E350" s="7"/>
      <c r="F350" s="7">
        <f t="shared" si="208"/>
        <v>3264</v>
      </c>
      <c r="G350" s="7"/>
      <c r="H350" s="7">
        <f t="shared" si="209"/>
        <v>3264</v>
      </c>
      <c r="I350" s="1"/>
      <c r="J350" s="1">
        <f t="shared" si="210"/>
        <v>3264</v>
      </c>
      <c r="K350" s="1"/>
      <c r="L350" s="1">
        <f t="shared" si="214"/>
        <v>3264</v>
      </c>
      <c r="N350" s="1">
        <f t="shared" si="211"/>
        <v>3264</v>
      </c>
      <c r="O350" s="1"/>
      <c r="Q350" s="1">
        <f t="shared" si="212"/>
        <v>3264</v>
      </c>
      <c r="T350" s="1">
        <f t="shared" si="215"/>
        <v>3264</v>
      </c>
      <c r="U350" s="1">
        <f>R350+T350</f>
        <v>3264</v>
      </c>
      <c r="V350" s="1">
        <f t="shared" si="204"/>
        <v>0</v>
      </c>
      <c r="W350" s="1">
        <f t="shared" si="205"/>
        <v>3264</v>
      </c>
      <c r="X350" s="1">
        <v>3260</v>
      </c>
      <c r="Y350" s="41">
        <f t="shared" si="199"/>
        <v>-4</v>
      </c>
      <c r="Z350" s="1">
        <f t="shared" si="200"/>
        <v>3260</v>
      </c>
      <c r="AA350" s="1">
        <v>5000</v>
      </c>
      <c r="AB350" s="41">
        <f t="shared" si="201"/>
        <v>1740</v>
      </c>
      <c r="AC350" s="1">
        <f t="shared" si="202"/>
        <v>5000</v>
      </c>
      <c r="AD350" s="41">
        <v>5000</v>
      </c>
      <c r="AE350" s="1">
        <f t="shared" si="197"/>
        <v>0</v>
      </c>
      <c r="AF350" s="1">
        <f t="shared" si="198"/>
        <v>5000</v>
      </c>
    </row>
    <row r="351" spans="1:32" s="2" customFormat="1">
      <c r="A351" s="11">
        <v>45900</v>
      </c>
      <c r="B351" s="11">
        <v>20300</v>
      </c>
      <c r="C351" s="11" t="s">
        <v>167</v>
      </c>
      <c r="D351" s="7">
        <v>60202.42</v>
      </c>
      <c r="E351" s="7"/>
      <c r="F351" s="7">
        <f t="shared" si="208"/>
        <v>60202.42</v>
      </c>
      <c r="G351" s="7">
        <v>-5202.42</v>
      </c>
      <c r="H351" s="7">
        <f t="shared" si="209"/>
        <v>55000</v>
      </c>
      <c r="I351" s="1"/>
      <c r="J351" s="1">
        <f t="shared" si="210"/>
        <v>55000</v>
      </c>
      <c r="K351" s="1"/>
      <c r="L351" s="1">
        <f t="shared" si="214"/>
        <v>55000</v>
      </c>
      <c r="M351" s="7"/>
      <c r="N351" s="1">
        <f t="shared" si="211"/>
        <v>55000</v>
      </c>
      <c r="O351" s="1"/>
      <c r="P351" s="1"/>
      <c r="Q351" s="1">
        <f t="shared" si="212"/>
        <v>55000</v>
      </c>
      <c r="R351" s="1"/>
      <c r="S351" s="1"/>
      <c r="T351" s="1">
        <f t="shared" si="215"/>
        <v>55000</v>
      </c>
      <c r="U351" s="1">
        <f>R351+T351</f>
        <v>55000</v>
      </c>
      <c r="V351" s="1">
        <f t="shared" si="204"/>
        <v>0</v>
      </c>
      <c r="W351" s="1">
        <f t="shared" si="205"/>
        <v>55000</v>
      </c>
      <c r="X351" s="1">
        <v>55000</v>
      </c>
      <c r="Y351" s="41">
        <f t="shared" si="199"/>
        <v>0</v>
      </c>
      <c r="Z351" s="1">
        <f t="shared" si="200"/>
        <v>55000</v>
      </c>
      <c r="AA351" s="1">
        <v>45000</v>
      </c>
      <c r="AB351" s="1">
        <f t="shared" si="201"/>
        <v>-10000</v>
      </c>
      <c r="AC351" s="1">
        <f t="shared" si="202"/>
        <v>45000</v>
      </c>
      <c r="AD351" s="41">
        <v>45000</v>
      </c>
      <c r="AE351" s="1">
        <f t="shared" si="197"/>
        <v>0</v>
      </c>
      <c r="AF351" s="1">
        <f t="shared" si="198"/>
        <v>45000</v>
      </c>
    </row>
    <row r="352" spans="1:32">
      <c r="A352" s="11">
        <v>49300</v>
      </c>
      <c r="B352" s="11">
        <v>20300</v>
      </c>
      <c r="C352" s="11" t="s">
        <v>709</v>
      </c>
      <c r="D352" s="7">
        <v>501.12</v>
      </c>
      <c r="E352" s="7"/>
      <c r="F352" s="7">
        <f t="shared" si="208"/>
        <v>501.12</v>
      </c>
      <c r="G352" s="7"/>
      <c r="H352" s="7">
        <f t="shared" si="209"/>
        <v>501.12</v>
      </c>
      <c r="I352" s="1"/>
      <c r="J352" s="1">
        <f t="shared" si="210"/>
        <v>501.12</v>
      </c>
      <c r="K352" s="1"/>
      <c r="L352" s="1">
        <f t="shared" si="214"/>
        <v>501.12</v>
      </c>
      <c r="N352" s="1">
        <f t="shared" si="211"/>
        <v>501.12</v>
      </c>
      <c r="O352" s="1"/>
      <c r="Q352" s="1">
        <f t="shared" si="212"/>
        <v>501.12</v>
      </c>
      <c r="T352" s="1">
        <f t="shared" si="215"/>
        <v>501.12</v>
      </c>
      <c r="U352" s="1">
        <f>R352+T352</f>
        <v>501.12</v>
      </c>
      <c r="V352" s="1">
        <f t="shared" si="204"/>
        <v>0</v>
      </c>
      <c r="W352" s="1">
        <f t="shared" si="205"/>
        <v>501.12</v>
      </c>
      <c r="X352" s="1">
        <v>300</v>
      </c>
      <c r="Y352" s="41">
        <f t="shared" si="199"/>
        <v>-201.12</v>
      </c>
      <c r="Z352" s="1">
        <f t="shared" si="200"/>
        <v>300</v>
      </c>
      <c r="AA352" s="1">
        <v>0</v>
      </c>
      <c r="AB352" s="1">
        <f t="shared" si="201"/>
        <v>-300</v>
      </c>
      <c r="AC352" s="1">
        <f t="shared" si="202"/>
        <v>0</v>
      </c>
      <c r="AD352" s="41">
        <v>0</v>
      </c>
      <c r="AE352" s="1">
        <f t="shared" si="197"/>
        <v>0</v>
      </c>
      <c r="AF352" s="1">
        <f t="shared" si="198"/>
        <v>0</v>
      </c>
    </row>
    <row r="353" spans="1:32">
      <c r="A353" s="11">
        <v>91200</v>
      </c>
      <c r="B353" s="11">
        <v>20300</v>
      </c>
      <c r="C353" s="11" t="s">
        <v>227</v>
      </c>
      <c r="D353" s="7">
        <v>2000</v>
      </c>
      <c r="E353" s="7"/>
      <c r="F353" s="7">
        <f t="shared" si="208"/>
        <v>2000</v>
      </c>
      <c r="G353" s="7"/>
      <c r="H353" s="7">
        <f t="shared" si="209"/>
        <v>2000</v>
      </c>
      <c r="I353" s="1"/>
      <c r="J353" s="1">
        <f t="shared" si="210"/>
        <v>2000</v>
      </c>
      <c r="K353" s="1"/>
      <c r="L353" s="1">
        <f t="shared" si="214"/>
        <v>2000</v>
      </c>
      <c r="N353" s="1">
        <f t="shared" si="211"/>
        <v>2000</v>
      </c>
      <c r="O353" s="1"/>
      <c r="P353" s="3"/>
      <c r="Q353" s="1">
        <f t="shared" si="212"/>
        <v>2000</v>
      </c>
      <c r="R353" s="3"/>
      <c r="S353" s="3"/>
      <c r="T353" s="1">
        <f t="shared" si="215"/>
        <v>2000</v>
      </c>
      <c r="U353" s="1">
        <f>R353+T353</f>
        <v>2000</v>
      </c>
      <c r="V353" s="1">
        <f t="shared" si="204"/>
        <v>0</v>
      </c>
      <c r="W353" s="1">
        <f t="shared" si="205"/>
        <v>2000</v>
      </c>
      <c r="X353" s="41">
        <v>5000</v>
      </c>
      <c r="Y353" s="41">
        <f t="shared" si="199"/>
        <v>3000</v>
      </c>
      <c r="Z353" s="1">
        <f t="shared" si="200"/>
        <v>5000</v>
      </c>
      <c r="AA353" s="41">
        <v>5000</v>
      </c>
      <c r="AB353" s="1">
        <f t="shared" si="201"/>
        <v>0</v>
      </c>
      <c r="AC353" s="1">
        <f t="shared" si="202"/>
        <v>5000</v>
      </c>
      <c r="AD353" s="41">
        <v>1000</v>
      </c>
      <c r="AE353" s="1">
        <f t="shared" si="197"/>
        <v>-4000</v>
      </c>
      <c r="AF353" s="1">
        <f t="shared" si="198"/>
        <v>1000</v>
      </c>
    </row>
    <row r="354" spans="1:32">
      <c r="A354" s="11">
        <v>92000</v>
      </c>
      <c r="B354" s="11">
        <v>20300</v>
      </c>
      <c r="C354" s="11" t="s">
        <v>243</v>
      </c>
      <c r="D354" s="7">
        <v>5037.79</v>
      </c>
      <c r="E354" s="7"/>
      <c r="F354" s="7">
        <f t="shared" si="208"/>
        <v>5037.79</v>
      </c>
      <c r="G354" s="7"/>
      <c r="H354" s="7">
        <f t="shared" si="209"/>
        <v>5037.79</v>
      </c>
      <c r="I354" s="1"/>
      <c r="J354" s="1">
        <f t="shared" si="210"/>
        <v>5037.79</v>
      </c>
      <c r="K354" s="1"/>
      <c r="L354" s="1">
        <f t="shared" si="214"/>
        <v>5037.79</v>
      </c>
      <c r="N354" s="1">
        <f t="shared" si="211"/>
        <v>5037.79</v>
      </c>
      <c r="O354" s="1"/>
      <c r="P354" s="3"/>
      <c r="Q354" s="1">
        <f t="shared" si="212"/>
        <v>5037.79</v>
      </c>
      <c r="R354" s="3"/>
      <c r="S354" s="3"/>
      <c r="T354" s="1">
        <f t="shared" si="215"/>
        <v>5037.79</v>
      </c>
      <c r="U354" s="41">
        <v>5000</v>
      </c>
      <c r="V354" s="1">
        <f t="shared" si="204"/>
        <v>-37.789999999999964</v>
      </c>
      <c r="W354" s="1">
        <f t="shared" si="205"/>
        <v>5000</v>
      </c>
      <c r="X354" s="41">
        <v>4000</v>
      </c>
      <c r="Y354" s="41">
        <f t="shared" si="199"/>
        <v>-1000</v>
      </c>
      <c r="Z354" s="1">
        <f t="shared" si="200"/>
        <v>4000</v>
      </c>
      <c r="AA354" s="41">
        <v>4000</v>
      </c>
      <c r="AB354" s="1">
        <f t="shared" si="201"/>
        <v>0</v>
      </c>
      <c r="AC354" s="1">
        <f t="shared" si="202"/>
        <v>4000</v>
      </c>
      <c r="AD354" s="41">
        <v>5000</v>
      </c>
      <c r="AE354" s="1">
        <f t="shared" si="197"/>
        <v>1000</v>
      </c>
      <c r="AF354" s="1">
        <f t="shared" si="198"/>
        <v>5000</v>
      </c>
    </row>
    <row r="355" spans="1:32">
      <c r="A355" s="11">
        <v>92010</v>
      </c>
      <c r="B355" s="11">
        <v>20300</v>
      </c>
      <c r="C355" s="11" t="s">
        <v>278</v>
      </c>
      <c r="D355" s="7">
        <v>600</v>
      </c>
      <c r="E355" s="7"/>
      <c r="F355" s="7">
        <f t="shared" si="208"/>
        <v>600</v>
      </c>
      <c r="G355" s="7"/>
      <c r="H355" s="7">
        <f t="shared" si="209"/>
        <v>600</v>
      </c>
      <c r="I355" s="7"/>
      <c r="J355" s="7">
        <f t="shared" si="210"/>
        <v>600</v>
      </c>
      <c r="K355" s="7"/>
      <c r="L355" s="7">
        <v>600</v>
      </c>
      <c r="M355" s="7">
        <v>0</v>
      </c>
      <c r="N355" s="7">
        <f t="shared" si="211"/>
        <v>600</v>
      </c>
      <c r="O355" s="7"/>
      <c r="Q355" s="1">
        <f t="shared" si="212"/>
        <v>600</v>
      </c>
      <c r="T355" s="1">
        <f t="shared" si="215"/>
        <v>600</v>
      </c>
      <c r="U355" s="1">
        <f>R355+T355</f>
        <v>600</v>
      </c>
      <c r="V355" s="1">
        <f t="shared" si="204"/>
        <v>0</v>
      </c>
      <c r="W355" s="1">
        <f t="shared" si="205"/>
        <v>600</v>
      </c>
      <c r="X355" s="1">
        <v>600</v>
      </c>
      <c r="Y355" s="41">
        <f t="shared" si="199"/>
        <v>0</v>
      </c>
      <c r="Z355" s="1">
        <f t="shared" si="200"/>
        <v>600</v>
      </c>
      <c r="AA355" s="1">
        <v>300</v>
      </c>
      <c r="AB355" s="1">
        <f t="shared" si="201"/>
        <v>-300</v>
      </c>
      <c r="AC355" s="1">
        <f t="shared" si="202"/>
        <v>300</v>
      </c>
      <c r="AD355" s="41">
        <v>300</v>
      </c>
      <c r="AE355" s="1">
        <f t="shared" si="197"/>
        <v>0</v>
      </c>
      <c r="AF355" s="1">
        <f t="shared" si="198"/>
        <v>300</v>
      </c>
    </row>
    <row r="356" spans="1:32">
      <c r="A356" s="11">
        <v>93100</v>
      </c>
      <c r="B356" s="19">
        <v>20300</v>
      </c>
      <c r="C356" s="48" t="s">
        <v>344</v>
      </c>
      <c r="D356" s="20"/>
      <c r="E356" s="20"/>
      <c r="F356" s="20"/>
      <c r="G356" s="20"/>
      <c r="H356" s="20"/>
      <c r="I356" s="21"/>
      <c r="J356" s="21"/>
      <c r="K356" s="21"/>
      <c r="L356" s="21"/>
      <c r="N356" s="1"/>
      <c r="O356" s="1"/>
      <c r="Q356" s="1">
        <v>0</v>
      </c>
      <c r="S356" s="1">
        <v>30000</v>
      </c>
      <c r="T356" s="1">
        <f t="shared" si="215"/>
        <v>30000</v>
      </c>
      <c r="U356" s="1">
        <f>3352.7*12</f>
        <v>40232.399999999994</v>
      </c>
      <c r="V356" s="1">
        <f t="shared" si="204"/>
        <v>10232.399999999994</v>
      </c>
      <c r="W356" s="1">
        <f t="shared" si="205"/>
        <v>40232.399999999994</v>
      </c>
      <c r="X356" s="1">
        <v>50000</v>
      </c>
      <c r="Y356" s="41">
        <f t="shared" si="199"/>
        <v>9767.6000000000058</v>
      </c>
      <c r="Z356" s="1">
        <f t="shared" si="200"/>
        <v>50000</v>
      </c>
      <c r="AA356" s="1">
        <v>30000</v>
      </c>
      <c r="AB356" s="1">
        <f t="shared" si="201"/>
        <v>-20000</v>
      </c>
      <c r="AC356" s="1">
        <f t="shared" si="202"/>
        <v>30000</v>
      </c>
      <c r="AD356" s="41">
        <v>15000</v>
      </c>
      <c r="AE356" s="1">
        <f t="shared" si="197"/>
        <v>-15000</v>
      </c>
      <c r="AF356" s="1">
        <f t="shared" si="198"/>
        <v>15000</v>
      </c>
    </row>
    <row r="357" spans="1:32">
      <c r="A357" s="11">
        <v>13200</v>
      </c>
      <c r="B357" s="11">
        <v>20400</v>
      </c>
      <c r="C357" s="11" t="s">
        <v>269</v>
      </c>
      <c r="D357" s="7">
        <v>50000</v>
      </c>
      <c r="E357" s="7">
        <v>81000</v>
      </c>
      <c r="F357" s="7">
        <f>D357-E357</f>
        <v>-31000</v>
      </c>
      <c r="G357" s="7">
        <v>20000</v>
      </c>
      <c r="H357" s="7">
        <f>D357+G357</f>
        <v>70000</v>
      </c>
      <c r="I357" s="1"/>
      <c r="J357" s="1">
        <f>H357-I357</f>
        <v>70000</v>
      </c>
      <c r="K357" s="1"/>
      <c r="L357" s="1">
        <f>H357+K357</f>
        <v>70000</v>
      </c>
      <c r="M357" s="7">
        <v>25000</v>
      </c>
      <c r="N357" s="1">
        <f>L357+M357</f>
        <v>95000</v>
      </c>
      <c r="O357" s="1"/>
      <c r="P357" s="1">
        <v>-10000</v>
      </c>
      <c r="Q357" s="1">
        <f>N357+P357</f>
        <v>85000</v>
      </c>
      <c r="S357" s="1">
        <v>15000</v>
      </c>
      <c r="T357" s="1">
        <f t="shared" si="215"/>
        <v>100000</v>
      </c>
      <c r="U357" s="1">
        <v>122000</v>
      </c>
      <c r="V357" s="1">
        <f t="shared" si="204"/>
        <v>22000</v>
      </c>
      <c r="W357" s="1">
        <f t="shared" si="205"/>
        <v>122000</v>
      </c>
      <c r="X357" s="1">
        <f>7000+6200+8400+130000</f>
        <v>151600</v>
      </c>
      <c r="Y357" s="41">
        <f t="shared" si="199"/>
        <v>29600</v>
      </c>
      <c r="Z357" s="1">
        <f t="shared" si="200"/>
        <v>151600</v>
      </c>
      <c r="AA357" s="1">
        <f>7565.16+10860+61766.04+11128.8+7760.16+5443.2</f>
        <v>104523.36</v>
      </c>
      <c r="AB357" s="1">
        <f t="shared" si="201"/>
        <v>-47076.639999999999</v>
      </c>
      <c r="AC357" s="1">
        <f t="shared" si="202"/>
        <v>104523.36</v>
      </c>
      <c r="AD357" s="41">
        <v>135000</v>
      </c>
      <c r="AE357" s="1">
        <f t="shared" si="197"/>
        <v>30476.639999999999</v>
      </c>
      <c r="AF357" s="1">
        <f t="shared" si="198"/>
        <v>135000</v>
      </c>
    </row>
    <row r="358" spans="1:32">
      <c r="A358" s="11">
        <v>13300</v>
      </c>
      <c r="B358" s="11">
        <v>20400</v>
      </c>
      <c r="C358" s="42" t="s">
        <v>409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47"/>
      <c r="R358" s="3"/>
      <c r="S358" s="47"/>
      <c r="T358" s="1"/>
      <c r="V358" s="1"/>
      <c r="W358" s="1"/>
      <c r="X358" s="41"/>
      <c r="Y358" s="41"/>
      <c r="Z358" s="1">
        <v>0</v>
      </c>
      <c r="AA358" s="41">
        <f>8574.2+12500</f>
        <v>21074.2</v>
      </c>
      <c r="AB358" s="41">
        <f t="shared" si="201"/>
        <v>21074.2</v>
      </c>
      <c r="AC358" s="1">
        <f t="shared" si="202"/>
        <v>21074.2</v>
      </c>
      <c r="AD358" s="41">
        <v>25000</v>
      </c>
      <c r="AE358" s="1">
        <f t="shared" si="197"/>
        <v>3925.7999999999993</v>
      </c>
      <c r="AF358" s="1">
        <f t="shared" si="198"/>
        <v>25000</v>
      </c>
    </row>
    <row r="359" spans="1:32">
      <c r="A359" s="13">
        <v>13500</v>
      </c>
      <c r="B359" s="11">
        <v>20400</v>
      </c>
      <c r="C359" s="11" t="s">
        <v>269</v>
      </c>
      <c r="D359" s="7"/>
      <c r="E359" s="7"/>
      <c r="F359" s="7"/>
      <c r="G359" s="7"/>
      <c r="H359" s="7"/>
      <c r="I359" s="1"/>
      <c r="J359" s="1"/>
      <c r="K359" s="1"/>
      <c r="L359" s="1"/>
      <c r="N359" s="1">
        <v>0</v>
      </c>
      <c r="O359" s="1"/>
      <c r="P359" s="1">
        <v>12000</v>
      </c>
      <c r="Q359" s="1">
        <f>N359+P359</f>
        <v>12000</v>
      </c>
      <c r="R359" s="1">
        <v>13238.76</v>
      </c>
      <c r="T359" s="1">
        <f>Q359+S359</f>
        <v>12000</v>
      </c>
      <c r="U359" s="1">
        <v>14000</v>
      </c>
      <c r="V359" s="1">
        <f>U359-T359</f>
        <v>2000</v>
      </c>
      <c r="W359" s="1">
        <f>T359+V359</f>
        <v>14000</v>
      </c>
      <c r="X359" s="1">
        <v>14000</v>
      </c>
      <c r="Y359" s="41">
        <f>X359-W359</f>
        <v>0</v>
      </c>
      <c r="Z359" s="1">
        <f>W359+Y359</f>
        <v>14000</v>
      </c>
      <c r="AA359" s="1">
        <v>7722.61</v>
      </c>
      <c r="AB359" s="41">
        <f t="shared" si="201"/>
        <v>-6277.39</v>
      </c>
      <c r="AC359" s="1">
        <f t="shared" si="202"/>
        <v>7722.61</v>
      </c>
      <c r="AD359" s="41">
        <v>10000</v>
      </c>
      <c r="AE359" s="1">
        <f t="shared" si="197"/>
        <v>2277.3900000000003</v>
      </c>
      <c r="AF359" s="1">
        <f t="shared" si="198"/>
        <v>10000</v>
      </c>
    </row>
    <row r="360" spans="1:32">
      <c r="A360" s="11">
        <v>15100</v>
      </c>
      <c r="B360" s="60">
        <v>20400</v>
      </c>
      <c r="C360" s="56" t="s">
        <v>409</v>
      </c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Y360" s="41"/>
      <c r="Z360" s="1">
        <v>0</v>
      </c>
      <c r="AA360" s="1">
        <v>9990.48</v>
      </c>
      <c r="AB360" s="1">
        <f t="shared" si="201"/>
        <v>9990.48</v>
      </c>
      <c r="AC360" s="1">
        <f t="shared" si="202"/>
        <v>9990.48</v>
      </c>
      <c r="AD360" s="41">
        <v>9990.48</v>
      </c>
      <c r="AE360" s="1">
        <f t="shared" si="197"/>
        <v>0</v>
      </c>
      <c r="AF360" s="1">
        <f t="shared" si="198"/>
        <v>9990.48</v>
      </c>
    </row>
    <row r="361" spans="1:32">
      <c r="A361" s="42">
        <v>16400</v>
      </c>
      <c r="B361" s="19">
        <v>20400</v>
      </c>
      <c r="C361" s="48" t="s">
        <v>735</v>
      </c>
      <c r="D361" s="20"/>
      <c r="E361" s="20"/>
      <c r="F361" s="20"/>
      <c r="G361" s="20"/>
      <c r="H361" s="20"/>
      <c r="I361" s="21"/>
      <c r="J361" s="21"/>
      <c r="K361" s="22"/>
      <c r="L361" s="21"/>
      <c r="N361" s="1"/>
      <c r="O361" s="1"/>
      <c r="T361" s="1">
        <v>0</v>
      </c>
      <c r="U361" s="1">
        <v>12454</v>
      </c>
      <c r="V361" s="1">
        <f>U361-T361</f>
        <v>12454</v>
      </c>
      <c r="W361" s="1">
        <f>T361+V361</f>
        <v>12454</v>
      </c>
      <c r="X361" s="1">
        <v>12454</v>
      </c>
      <c r="Y361" s="41">
        <f>X361-W361</f>
        <v>0</v>
      </c>
      <c r="Z361" s="1">
        <f>W361+Y361</f>
        <v>12454</v>
      </c>
      <c r="AA361" s="1">
        <v>12454</v>
      </c>
      <c r="AB361" s="1">
        <f t="shared" si="201"/>
        <v>0</v>
      </c>
      <c r="AC361" s="1">
        <f t="shared" si="202"/>
        <v>12454</v>
      </c>
      <c r="AD361" s="41">
        <v>0</v>
      </c>
      <c r="AE361" s="1">
        <f t="shared" si="197"/>
        <v>-12454</v>
      </c>
      <c r="AF361" s="1">
        <f t="shared" si="198"/>
        <v>0</v>
      </c>
    </row>
    <row r="362" spans="1:32">
      <c r="A362" s="13">
        <v>16500</v>
      </c>
      <c r="B362" s="11">
        <v>20400</v>
      </c>
      <c r="C362" s="11" t="s">
        <v>269</v>
      </c>
      <c r="D362" s="7">
        <v>8000</v>
      </c>
      <c r="E362" s="7"/>
      <c r="F362" s="7">
        <f>D362-E362</f>
        <v>8000</v>
      </c>
      <c r="G362" s="7"/>
      <c r="H362" s="7">
        <f>D362+G362</f>
        <v>8000</v>
      </c>
      <c r="I362" s="1"/>
      <c r="J362" s="1">
        <f>H362-I362</f>
        <v>8000</v>
      </c>
      <c r="K362" s="1"/>
      <c r="L362" s="1">
        <f>H362+K362</f>
        <v>8000</v>
      </c>
      <c r="N362" s="1">
        <f>L362+M362</f>
        <v>8000</v>
      </c>
      <c r="O362" s="1"/>
      <c r="Q362" s="1">
        <f>N362+P362</f>
        <v>8000</v>
      </c>
      <c r="R362" s="1">
        <v>255894.66</v>
      </c>
      <c r="T362" s="1">
        <f>Q362+S362</f>
        <v>8000</v>
      </c>
      <c r="U362" s="1">
        <v>8000</v>
      </c>
      <c r="V362" s="1">
        <f>U362-T362</f>
        <v>0</v>
      </c>
      <c r="W362" s="1">
        <f>T362+V362</f>
        <v>8000</v>
      </c>
      <c r="X362" s="1">
        <v>9100</v>
      </c>
      <c r="Y362" s="41">
        <f>X362-W362</f>
        <v>1100</v>
      </c>
      <c r="Z362" s="1">
        <f>W362+Y362</f>
        <v>9100</v>
      </c>
      <c r="AA362" s="1">
        <v>9100</v>
      </c>
      <c r="AB362" s="1">
        <f t="shared" si="201"/>
        <v>0</v>
      </c>
      <c r="AC362" s="1">
        <f t="shared" si="202"/>
        <v>9100</v>
      </c>
      <c r="AD362" s="41">
        <v>8500</v>
      </c>
      <c r="AE362" s="1">
        <f t="shared" si="197"/>
        <v>-600</v>
      </c>
      <c r="AF362" s="1">
        <f t="shared" si="198"/>
        <v>8500</v>
      </c>
    </row>
    <row r="363" spans="1:32">
      <c r="A363" s="42">
        <v>17000</v>
      </c>
      <c r="B363" s="11">
        <v>20400</v>
      </c>
      <c r="C363" s="11" t="s">
        <v>934</v>
      </c>
      <c r="D363" s="7"/>
      <c r="E363" s="7"/>
      <c r="F363" s="7"/>
      <c r="G363" s="7"/>
      <c r="H363" s="7"/>
      <c r="I363" s="1"/>
      <c r="J363" s="1"/>
      <c r="K363" s="1"/>
      <c r="L363" s="1"/>
      <c r="N363" s="1"/>
      <c r="O363" s="1"/>
      <c r="T363" s="1"/>
      <c r="V363" s="1"/>
      <c r="W363" s="1"/>
      <c r="Y363" s="41"/>
      <c r="Z363" s="1"/>
      <c r="AB363" s="1"/>
      <c r="AC363" s="1">
        <v>0</v>
      </c>
      <c r="AD363" s="41">
        <v>16000</v>
      </c>
      <c r="AE363" s="1">
        <f t="shared" si="197"/>
        <v>16000</v>
      </c>
      <c r="AF363" s="1">
        <f t="shared" si="198"/>
        <v>16000</v>
      </c>
    </row>
    <row r="364" spans="1:32">
      <c r="A364" s="13">
        <v>17100</v>
      </c>
      <c r="B364" s="11">
        <v>20400</v>
      </c>
      <c r="C364" s="11" t="s">
        <v>395</v>
      </c>
      <c r="D364" s="7">
        <v>4000</v>
      </c>
      <c r="E364" s="7"/>
      <c r="F364" s="7">
        <f>D364-E364</f>
        <v>4000</v>
      </c>
      <c r="G364" s="7"/>
      <c r="H364" s="7">
        <f>D364+G364</f>
        <v>4000</v>
      </c>
      <c r="I364" s="1"/>
      <c r="J364" s="1">
        <f>H364-I364</f>
        <v>4000</v>
      </c>
      <c r="K364" s="1"/>
      <c r="L364" s="1">
        <f>H364+K364</f>
        <v>4000</v>
      </c>
      <c r="N364" s="1">
        <f>L364+M364</f>
        <v>4000</v>
      </c>
      <c r="O364" s="1"/>
      <c r="Q364" s="1">
        <f>N364+P364</f>
        <v>4000</v>
      </c>
      <c r="S364" s="1">
        <v>10000</v>
      </c>
      <c r="T364" s="1">
        <f>Q364+S364</f>
        <v>14000</v>
      </c>
      <c r="U364" s="1">
        <f>R364+T364</f>
        <v>14000</v>
      </c>
      <c r="V364" s="1">
        <f>U364-T364</f>
        <v>0</v>
      </c>
      <c r="W364" s="1">
        <f>T364+V364</f>
        <v>14000</v>
      </c>
      <c r="X364" s="1">
        <v>12000</v>
      </c>
      <c r="Y364" s="41">
        <f>X364-W364</f>
        <v>-2000</v>
      </c>
      <c r="Z364" s="1">
        <f>W364+Y364</f>
        <v>12000</v>
      </c>
      <c r="AA364" s="1">
        <v>7244.16</v>
      </c>
      <c r="AB364" s="1">
        <f>AA364-Z364</f>
        <v>-4755.84</v>
      </c>
      <c r="AC364" s="1">
        <f>Z364+AB364</f>
        <v>7244.16</v>
      </c>
      <c r="AD364" s="41">
        <v>7500</v>
      </c>
      <c r="AE364" s="1">
        <f t="shared" si="197"/>
        <v>255.84000000000015</v>
      </c>
      <c r="AF364" s="1">
        <f t="shared" si="198"/>
        <v>7500</v>
      </c>
    </row>
    <row r="365" spans="1:32">
      <c r="A365" s="13">
        <v>23110</v>
      </c>
      <c r="B365" s="11">
        <v>20400</v>
      </c>
      <c r="C365" s="11" t="s">
        <v>409</v>
      </c>
      <c r="D365" s="8"/>
      <c r="E365" s="8"/>
      <c r="F365" s="8"/>
      <c r="G365" s="8"/>
      <c r="H365" s="8"/>
      <c r="I365" s="8"/>
      <c r="J365" s="8"/>
      <c r="K365" s="8"/>
      <c r="L365" s="10">
        <v>2400</v>
      </c>
      <c r="M365" s="10">
        <v>0</v>
      </c>
      <c r="N365" s="7">
        <f>L365+M365</f>
        <v>2400</v>
      </c>
      <c r="O365" s="7"/>
      <c r="P365" s="3"/>
      <c r="Q365" s="1">
        <f>N365+P365</f>
        <v>2400</v>
      </c>
      <c r="R365" s="3"/>
      <c r="S365" s="3"/>
      <c r="T365" s="1">
        <f>Q365+S365</f>
        <v>2400</v>
      </c>
      <c r="U365" s="41">
        <v>5600</v>
      </c>
      <c r="V365" s="1">
        <f>U365-T365</f>
        <v>3200</v>
      </c>
      <c r="W365" s="1">
        <f>T365+V365</f>
        <v>5600</v>
      </c>
      <c r="X365" s="41">
        <v>5600</v>
      </c>
      <c r="Y365" s="41">
        <f>X365-W365</f>
        <v>0</v>
      </c>
      <c r="Z365" s="1">
        <f>W365+Y365</f>
        <v>5600</v>
      </c>
      <c r="AA365" s="41">
        <v>6100</v>
      </c>
      <c r="AB365" s="41">
        <f>AA365-Z365</f>
        <v>500</v>
      </c>
      <c r="AC365" s="1">
        <f>Z365+AB365</f>
        <v>6100</v>
      </c>
      <c r="AD365" s="41">
        <v>6100</v>
      </c>
      <c r="AE365" s="1">
        <f t="shared" si="197"/>
        <v>0</v>
      </c>
      <c r="AF365" s="1">
        <f t="shared" si="198"/>
        <v>6100</v>
      </c>
    </row>
    <row r="366" spans="1:32">
      <c r="A366" s="11">
        <v>34000</v>
      </c>
      <c r="B366" s="11">
        <v>20400</v>
      </c>
      <c r="C366" s="11" t="s">
        <v>269</v>
      </c>
      <c r="D366" s="7">
        <v>8720</v>
      </c>
      <c r="E366" s="7"/>
      <c r="F366" s="7">
        <f>D366-E366</f>
        <v>8720</v>
      </c>
      <c r="G366" s="7">
        <v>-1533.32</v>
      </c>
      <c r="H366" s="7">
        <f>D366+G366</f>
        <v>7186.68</v>
      </c>
      <c r="I366" s="1"/>
      <c r="J366" s="1">
        <f>H366-I366</f>
        <v>7186.68</v>
      </c>
      <c r="K366" s="1"/>
      <c r="L366" s="1">
        <f>H366+K366</f>
        <v>7186.68</v>
      </c>
      <c r="N366" s="1">
        <f>L366+M366</f>
        <v>7186.68</v>
      </c>
      <c r="O366" s="1"/>
      <c r="Q366" s="1">
        <f>N366+P366</f>
        <v>7186.68</v>
      </c>
      <c r="T366" s="1">
        <f>Q366+S366</f>
        <v>7186.68</v>
      </c>
      <c r="U366" s="1">
        <f>R366+T366</f>
        <v>7186.68</v>
      </c>
      <c r="V366" s="1">
        <f>U366-T366</f>
        <v>0</v>
      </c>
      <c r="W366" s="1">
        <f>T366+V366</f>
        <v>7186.68</v>
      </c>
      <c r="X366" s="1">
        <v>7200</v>
      </c>
      <c r="Y366" s="41">
        <f>X366-W366</f>
        <v>13.319999999999709</v>
      </c>
      <c r="Z366" s="1">
        <f>W366+Y366</f>
        <v>7200</v>
      </c>
      <c r="AA366" s="1">
        <v>6500</v>
      </c>
      <c r="AB366" s="1">
        <f>AA366-Z366</f>
        <v>-700</v>
      </c>
      <c r="AC366" s="1">
        <f>Z366+AB366</f>
        <v>6500</v>
      </c>
      <c r="AD366" s="41">
        <v>6500</v>
      </c>
      <c r="AE366" s="1">
        <f t="shared" si="197"/>
        <v>0</v>
      </c>
      <c r="AF366" s="1">
        <f t="shared" si="198"/>
        <v>6500</v>
      </c>
    </row>
    <row r="367" spans="1:32">
      <c r="A367" s="11">
        <v>45900</v>
      </c>
      <c r="B367" s="11">
        <v>20400</v>
      </c>
      <c r="C367" s="11" t="s">
        <v>375</v>
      </c>
      <c r="D367" s="7">
        <v>17560.509999999998</v>
      </c>
      <c r="E367" s="7"/>
      <c r="F367" s="7">
        <f>D367-E367</f>
        <v>17560.509999999998</v>
      </c>
      <c r="G367" s="7">
        <v>-2560.5100000000002</v>
      </c>
      <c r="H367" s="7">
        <f>D367+G367</f>
        <v>14999.999999999998</v>
      </c>
      <c r="I367" s="1"/>
      <c r="J367" s="1">
        <f>H367-I367</f>
        <v>14999.999999999998</v>
      </c>
      <c r="K367" s="1"/>
      <c r="L367" s="1">
        <f>H367+K367</f>
        <v>14999.999999999998</v>
      </c>
      <c r="N367" s="1">
        <f>L367+M367</f>
        <v>14999.999999999998</v>
      </c>
      <c r="O367" s="1"/>
      <c r="Q367" s="1">
        <f>N367+P367</f>
        <v>14999.999999999998</v>
      </c>
      <c r="T367" s="1">
        <f>Q367+S367</f>
        <v>14999.999999999998</v>
      </c>
      <c r="U367" s="1">
        <f>R367+T367</f>
        <v>14999.999999999998</v>
      </c>
      <c r="V367" s="1">
        <f>U367-T367</f>
        <v>0</v>
      </c>
      <c r="W367" s="1">
        <f>T367+V367</f>
        <v>14999.999999999998</v>
      </c>
      <c r="X367" s="1">
        <v>15000</v>
      </c>
      <c r="Y367" s="41">
        <f>X367-W367</f>
        <v>0</v>
      </c>
      <c r="Z367" s="1">
        <f>W367+Y367</f>
        <v>14999.999999999998</v>
      </c>
      <c r="AA367" s="1">
        <v>15000</v>
      </c>
      <c r="AB367" s="1">
        <f>AA367-Z367</f>
        <v>0</v>
      </c>
      <c r="AC367" s="1">
        <f>Z367+AB367</f>
        <v>14999.999999999998</v>
      </c>
      <c r="AD367" s="41">
        <v>16000</v>
      </c>
      <c r="AE367" s="1">
        <f t="shared" si="197"/>
        <v>1000.0000000000018</v>
      </c>
      <c r="AF367" s="1">
        <f t="shared" si="198"/>
        <v>16000</v>
      </c>
    </row>
    <row r="368" spans="1:32">
      <c r="A368" s="11">
        <v>92600</v>
      </c>
      <c r="B368" s="11">
        <v>20600</v>
      </c>
      <c r="C368" s="11" t="s">
        <v>288</v>
      </c>
      <c r="D368" s="7">
        <v>37000</v>
      </c>
      <c r="E368" s="7"/>
      <c r="F368" s="7">
        <f>D368-E368</f>
        <v>37000</v>
      </c>
      <c r="G368" s="7">
        <v>-2000</v>
      </c>
      <c r="H368" s="7">
        <f>D368+G368</f>
        <v>35000</v>
      </c>
      <c r="I368" s="7"/>
      <c r="J368" s="7">
        <f>H368-I368</f>
        <v>35000</v>
      </c>
      <c r="K368" s="7"/>
      <c r="L368" s="7">
        <v>35000</v>
      </c>
      <c r="M368" s="7">
        <v>0</v>
      </c>
      <c r="N368" s="7">
        <f>L368+M368</f>
        <v>35000</v>
      </c>
      <c r="O368" s="7"/>
      <c r="Q368" s="1">
        <f>N368+P368</f>
        <v>35000</v>
      </c>
      <c r="R368" s="1">
        <v>15125</v>
      </c>
      <c r="T368" s="1">
        <f>Q368+S368</f>
        <v>35000</v>
      </c>
      <c r="U368" s="1">
        <v>35000</v>
      </c>
      <c r="V368" s="1">
        <f>U368-T368</f>
        <v>0</v>
      </c>
      <c r="W368" s="1">
        <f>T368+V368</f>
        <v>35000</v>
      </c>
      <c r="X368" s="1">
        <v>35000</v>
      </c>
      <c r="Y368" s="41">
        <f>X368-W368</f>
        <v>0</v>
      </c>
      <c r="Z368" s="1">
        <f>W368+Y368</f>
        <v>35000</v>
      </c>
      <c r="AA368" s="1">
        <v>50000</v>
      </c>
      <c r="AB368" s="1">
        <f>AA368-Z368</f>
        <v>15000</v>
      </c>
      <c r="AC368" s="1">
        <f>Z368+AB368</f>
        <v>50000</v>
      </c>
      <c r="AD368" s="41">
        <v>50000</v>
      </c>
      <c r="AE368" s="1">
        <f t="shared" si="197"/>
        <v>0</v>
      </c>
      <c r="AF368" s="1">
        <f t="shared" si="198"/>
        <v>50000</v>
      </c>
    </row>
    <row r="369" spans="1:32">
      <c r="A369" s="42">
        <v>17000</v>
      </c>
      <c r="B369" s="11">
        <v>20900</v>
      </c>
      <c r="C369" s="11" t="s">
        <v>885</v>
      </c>
      <c r="D369" s="7"/>
      <c r="E369" s="7"/>
      <c r="F369" s="7"/>
      <c r="G369" s="7"/>
      <c r="H369" s="7"/>
      <c r="I369" s="1"/>
      <c r="J369" s="1"/>
      <c r="K369" s="1"/>
      <c r="L369" s="1"/>
      <c r="N369" s="1"/>
      <c r="O369" s="1"/>
      <c r="T369" s="1"/>
      <c r="V369" s="1"/>
      <c r="W369" s="1"/>
      <c r="Y369" s="41"/>
      <c r="Z369" s="1"/>
      <c r="AB369" s="1"/>
      <c r="AC369" s="1">
        <v>0</v>
      </c>
      <c r="AD369" s="41">
        <v>90000</v>
      </c>
      <c r="AE369" s="1">
        <f t="shared" si="197"/>
        <v>90000</v>
      </c>
      <c r="AF369" s="1">
        <f t="shared" si="198"/>
        <v>90000</v>
      </c>
    </row>
    <row r="370" spans="1:32">
      <c r="A370" s="42">
        <v>43200</v>
      </c>
      <c r="B370" s="11">
        <v>20900</v>
      </c>
      <c r="C370" s="39" t="s">
        <v>940</v>
      </c>
      <c r="D370" s="7"/>
      <c r="E370" s="7"/>
      <c r="F370" s="7"/>
      <c r="G370" s="7"/>
      <c r="H370" s="7"/>
      <c r="I370" s="1"/>
      <c r="J370" s="1"/>
      <c r="K370" s="1"/>
      <c r="L370" s="1"/>
      <c r="N370" s="1"/>
      <c r="O370" s="1"/>
      <c r="T370" s="1"/>
      <c r="V370" s="1"/>
      <c r="W370" s="1"/>
      <c r="Y370" s="41"/>
      <c r="Z370" s="1"/>
      <c r="AB370" s="41"/>
      <c r="AC370" s="1">
        <v>0</v>
      </c>
      <c r="AD370" s="41">
        <v>36186.58</v>
      </c>
      <c r="AE370" s="1">
        <f t="shared" si="197"/>
        <v>36186.58</v>
      </c>
      <c r="AF370" s="1">
        <f t="shared" si="198"/>
        <v>36186.58</v>
      </c>
    </row>
    <row r="371" spans="1:32">
      <c r="A371" s="42">
        <v>43900</v>
      </c>
      <c r="B371" s="42">
        <v>20900</v>
      </c>
      <c r="C371" s="42" t="s">
        <v>939</v>
      </c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1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>
        <v>0</v>
      </c>
      <c r="AD371" s="41">
        <v>65000</v>
      </c>
      <c r="AE371" s="1">
        <f t="shared" si="197"/>
        <v>65000</v>
      </c>
      <c r="AF371" s="1">
        <f t="shared" si="198"/>
        <v>65000</v>
      </c>
    </row>
    <row r="372" spans="1:32">
      <c r="A372" s="11">
        <v>15320</v>
      </c>
      <c r="B372" s="11">
        <v>21000</v>
      </c>
      <c r="C372" s="11" t="s">
        <v>495</v>
      </c>
      <c r="D372" s="7">
        <v>400000</v>
      </c>
      <c r="E372" s="7">
        <v>300000</v>
      </c>
      <c r="F372" s="7">
        <f>D372-E372</f>
        <v>100000</v>
      </c>
      <c r="G372" s="7">
        <v>-100000</v>
      </c>
      <c r="H372" s="7">
        <f>D372+G372</f>
        <v>300000</v>
      </c>
      <c r="I372" s="1"/>
      <c r="J372" s="1">
        <f>H372-I372</f>
        <v>300000</v>
      </c>
      <c r="K372" s="1"/>
      <c r="L372" s="1">
        <f>H372+K372</f>
        <v>300000</v>
      </c>
      <c r="M372" s="7">
        <v>50000</v>
      </c>
      <c r="N372" s="1">
        <f>L372+M372</f>
        <v>350000</v>
      </c>
      <c r="O372" s="1"/>
      <c r="P372" s="1">
        <v>-20000</v>
      </c>
      <c r="Q372" s="1">
        <f>N372+P372</f>
        <v>330000</v>
      </c>
      <c r="T372" s="1">
        <f>Q372+S372</f>
        <v>330000</v>
      </c>
      <c r="U372" s="1">
        <v>330000</v>
      </c>
      <c r="V372" s="1">
        <v>0</v>
      </c>
      <c r="W372" s="1">
        <f>T372+V372</f>
        <v>330000</v>
      </c>
      <c r="X372" s="1">
        <v>330000</v>
      </c>
      <c r="Y372" s="41">
        <f>X372-W372</f>
        <v>0</v>
      </c>
      <c r="Z372" s="1">
        <f>W372+Y372</f>
        <v>330000</v>
      </c>
      <c r="AA372" s="1">
        <v>330000</v>
      </c>
      <c r="AB372" s="1">
        <f>AA372-Z372</f>
        <v>0</v>
      </c>
      <c r="AC372" s="1">
        <f>Z372+AB372</f>
        <v>330000</v>
      </c>
      <c r="AD372" s="41">
        <v>280000</v>
      </c>
      <c r="AE372" s="1">
        <f t="shared" si="197"/>
        <v>-50000</v>
      </c>
      <c r="AF372" s="1">
        <f t="shared" si="198"/>
        <v>280000</v>
      </c>
    </row>
    <row r="373" spans="1:32">
      <c r="A373" s="13">
        <v>16500</v>
      </c>
      <c r="B373" s="11">
        <v>21000</v>
      </c>
      <c r="C373" s="11" t="s">
        <v>389</v>
      </c>
      <c r="D373" s="7">
        <v>85009.95</v>
      </c>
      <c r="E373" s="7"/>
      <c r="F373" s="7">
        <f>D373-E373</f>
        <v>85009.95</v>
      </c>
      <c r="G373" s="7">
        <v>-5009.95</v>
      </c>
      <c r="H373" s="7">
        <f>D373+G373</f>
        <v>80000</v>
      </c>
      <c r="I373" s="1"/>
      <c r="J373" s="1">
        <f>H373-I373</f>
        <v>80000</v>
      </c>
      <c r="K373" s="1"/>
      <c r="L373" s="1">
        <f>H373+K373</f>
        <v>80000</v>
      </c>
      <c r="N373" s="1">
        <f>L373+M373</f>
        <v>80000</v>
      </c>
      <c r="O373" s="1"/>
      <c r="Q373" s="1">
        <f>N373+P373</f>
        <v>80000</v>
      </c>
      <c r="T373" s="1">
        <f>Q373+S373</f>
        <v>80000</v>
      </c>
      <c r="U373" s="1">
        <f>R373+T373</f>
        <v>80000</v>
      </c>
      <c r="V373" s="1">
        <f>U373-T373</f>
        <v>0</v>
      </c>
      <c r="W373" s="1">
        <f>T373+V373</f>
        <v>80000</v>
      </c>
      <c r="X373" s="1">
        <v>80000</v>
      </c>
      <c r="Y373" s="41">
        <f>X373-W373</f>
        <v>0</v>
      </c>
      <c r="Z373" s="1">
        <f>W373+Y373</f>
        <v>80000</v>
      </c>
      <c r="AA373" s="1">
        <v>80000</v>
      </c>
      <c r="AB373" s="1">
        <f>AA373-Z373</f>
        <v>0</v>
      </c>
      <c r="AC373" s="1">
        <f>Z373+AB373</f>
        <v>80000</v>
      </c>
      <c r="AD373" s="41">
        <v>70000</v>
      </c>
      <c r="AE373" s="1">
        <f t="shared" si="197"/>
        <v>-10000</v>
      </c>
      <c r="AF373" s="1">
        <f t="shared" si="198"/>
        <v>70000</v>
      </c>
    </row>
    <row r="374" spans="1:32">
      <c r="A374" s="42">
        <v>17000</v>
      </c>
      <c r="B374" s="11">
        <v>21000</v>
      </c>
      <c r="C374" s="11" t="s">
        <v>924</v>
      </c>
      <c r="D374" s="7"/>
      <c r="E374" s="7"/>
      <c r="F374" s="7"/>
      <c r="G374" s="7"/>
      <c r="H374" s="7"/>
      <c r="I374" s="1"/>
      <c r="J374" s="1"/>
      <c r="K374" s="1"/>
      <c r="L374" s="1"/>
      <c r="N374" s="1"/>
      <c r="O374" s="1"/>
      <c r="T374" s="1"/>
      <c r="V374" s="1"/>
      <c r="W374" s="1"/>
      <c r="Y374" s="41"/>
      <c r="Z374" s="1"/>
      <c r="AB374" s="1"/>
      <c r="AC374" s="1">
        <v>0</v>
      </c>
      <c r="AD374" s="41">
        <v>20000</v>
      </c>
      <c r="AE374" s="1">
        <f t="shared" si="197"/>
        <v>20000</v>
      </c>
      <c r="AF374" s="1">
        <f t="shared" si="198"/>
        <v>20000</v>
      </c>
    </row>
    <row r="375" spans="1:32">
      <c r="A375" s="13">
        <v>17100</v>
      </c>
      <c r="B375" s="11">
        <v>21000</v>
      </c>
      <c r="C375" s="11" t="s">
        <v>396</v>
      </c>
      <c r="D375" s="7">
        <v>100000</v>
      </c>
      <c r="E375" s="7"/>
      <c r="F375" s="7">
        <f>D375-E375</f>
        <v>100000</v>
      </c>
      <c r="G375" s="7">
        <v>-10000</v>
      </c>
      <c r="H375" s="7">
        <f>D375+G375</f>
        <v>90000</v>
      </c>
      <c r="I375" s="1">
        <f>98392+70799</f>
        <v>169191</v>
      </c>
      <c r="J375" s="1">
        <f>H375-I375</f>
        <v>-79191</v>
      </c>
      <c r="K375" s="1">
        <v>79191</v>
      </c>
      <c r="L375" s="1">
        <f>H375+K375</f>
        <v>169191</v>
      </c>
      <c r="M375" s="7">
        <f>180000-L375</f>
        <v>10809</v>
      </c>
      <c r="N375" s="1">
        <f>L375+M375</f>
        <v>180000</v>
      </c>
      <c r="O375" s="1"/>
      <c r="P375" s="1">
        <v>30000</v>
      </c>
      <c r="Q375" s="1">
        <f>N375+P375</f>
        <v>210000</v>
      </c>
      <c r="R375" s="1">
        <f>(267803.46+56238.73)/2</f>
        <v>162021.095</v>
      </c>
      <c r="T375" s="1">
        <f>Q375+S375</f>
        <v>210000</v>
      </c>
      <c r="U375" s="1">
        <v>240000</v>
      </c>
      <c r="V375" s="1">
        <v>30000</v>
      </c>
      <c r="W375" s="1">
        <f>T375+V375</f>
        <v>240000</v>
      </c>
      <c r="X375" s="1">
        <v>240000</v>
      </c>
      <c r="Y375" s="41">
        <f>X375-W375</f>
        <v>0</v>
      </c>
      <c r="Z375" s="1">
        <f>W375+Y375</f>
        <v>240000</v>
      </c>
      <c r="AA375" s="1">
        <v>240000</v>
      </c>
      <c r="AB375" s="1">
        <f>AA375-Z375</f>
        <v>0</v>
      </c>
      <c r="AC375" s="1">
        <f>Z375+AB375</f>
        <v>240000</v>
      </c>
      <c r="AD375" s="41">
        <v>225000</v>
      </c>
      <c r="AE375" s="1">
        <f t="shared" si="197"/>
        <v>-15000</v>
      </c>
      <c r="AF375" s="1">
        <f t="shared" si="198"/>
        <v>225000</v>
      </c>
    </row>
    <row r="376" spans="1:32">
      <c r="A376" s="42">
        <v>43900</v>
      </c>
      <c r="B376" s="11">
        <v>21000</v>
      </c>
      <c r="C376" s="42" t="s">
        <v>911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3"/>
      <c r="S376" s="8"/>
      <c r="T376" s="8"/>
      <c r="U376" s="8"/>
      <c r="V376" s="8"/>
      <c r="W376" s="8"/>
      <c r="X376" s="8"/>
      <c r="Y376" s="8"/>
      <c r="Z376" s="47"/>
      <c r="AA376" s="47"/>
      <c r="AB376" s="41"/>
      <c r="AC376" s="1">
        <v>0</v>
      </c>
      <c r="AD376" s="41">
        <f>46500+10000</f>
        <v>56500</v>
      </c>
      <c r="AE376" s="1">
        <f t="shared" si="197"/>
        <v>56500</v>
      </c>
      <c r="AF376" s="1">
        <f t="shared" si="198"/>
        <v>56500</v>
      </c>
    </row>
    <row r="377" spans="1:32">
      <c r="A377" s="11">
        <v>15100</v>
      </c>
      <c r="B377" s="19">
        <v>21200</v>
      </c>
      <c r="C377" s="39" t="s">
        <v>734</v>
      </c>
      <c r="D377" s="7"/>
      <c r="E377" s="7"/>
      <c r="F377" s="7"/>
      <c r="G377" s="7"/>
      <c r="H377" s="7"/>
      <c r="I377" s="1"/>
      <c r="J377" s="1"/>
      <c r="K377" s="1"/>
      <c r="L377" s="1"/>
      <c r="N377" s="1"/>
      <c r="O377" s="1"/>
      <c r="T377" s="1">
        <v>0</v>
      </c>
      <c r="U377" s="1">
        <v>2000</v>
      </c>
      <c r="V377" s="1">
        <f>U377-T377</f>
        <v>2000</v>
      </c>
      <c r="W377" s="1">
        <f>T377+V377</f>
        <v>2000</v>
      </c>
      <c r="X377" s="1">
        <v>2000</v>
      </c>
      <c r="Y377" s="41">
        <f t="shared" ref="Y377:Y402" si="216">X377-W377</f>
        <v>0</v>
      </c>
      <c r="Z377" s="1">
        <f t="shared" ref="Z377:Z402" si="217">W377+Y377</f>
        <v>2000</v>
      </c>
      <c r="AA377" s="1">
        <v>5000</v>
      </c>
      <c r="AB377" s="1">
        <f t="shared" ref="AB377:AB402" si="218">AA377-Z377</f>
        <v>3000</v>
      </c>
      <c r="AC377" s="1">
        <f t="shared" ref="AC377:AC402" si="219">Z377+AB377</f>
        <v>5000</v>
      </c>
      <c r="AD377" s="41">
        <v>3500</v>
      </c>
      <c r="AE377" s="1">
        <f t="shared" si="197"/>
        <v>-1500</v>
      </c>
      <c r="AF377" s="1">
        <f t="shared" si="198"/>
        <v>3500</v>
      </c>
    </row>
    <row r="378" spans="1:32">
      <c r="A378" s="13">
        <v>16400</v>
      </c>
      <c r="B378" s="11">
        <v>21200</v>
      </c>
      <c r="C378" s="11" t="s">
        <v>413</v>
      </c>
      <c r="D378" s="7">
        <v>9000</v>
      </c>
      <c r="E378" s="7"/>
      <c r="F378" s="7">
        <f>D378-E378</f>
        <v>9000</v>
      </c>
      <c r="G378" s="7"/>
      <c r="H378" s="7">
        <f>D378+G378</f>
        <v>9000</v>
      </c>
      <c r="I378" s="1"/>
      <c r="J378" s="1">
        <f>H378-I378</f>
        <v>9000</v>
      </c>
      <c r="K378" s="1"/>
      <c r="L378" s="1">
        <f>H378+K378</f>
        <v>9000</v>
      </c>
      <c r="N378" s="1">
        <f>L378+M378</f>
        <v>9000</v>
      </c>
      <c r="O378" s="1"/>
      <c r="Q378" s="1">
        <f>N378+P378</f>
        <v>9000</v>
      </c>
      <c r="S378" s="1">
        <v>3000</v>
      </c>
      <c r="T378" s="1">
        <f>Q378+S378</f>
        <v>12000</v>
      </c>
      <c r="U378" s="1">
        <f>R378+T378</f>
        <v>12000</v>
      </c>
      <c r="V378" s="1">
        <f>U378-T378</f>
        <v>0</v>
      </c>
      <c r="W378" s="1">
        <f>T378+V378</f>
        <v>12000</v>
      </c>
      <c r="X378" s="1">
        <v>8000</v>
      </c>
      <c r="Y378" s="41">
        <f t="shared" si="216"/>
        <v>-4000</v>
      </c>
      <c r="Z378" s="1">
        <f t="shared" si="217"/>
        <v>8000</v>
      </c>
      <c r="AA378" s="1">
        <v>8000</v>
      </c>
      <c r="AB378" s="1">
        <f t="shared" si="218"/>
        <v>0</v>
      </c>
      <c r="AC378" s="1">
        <f t="shared" si="219"/>
        <v>8000</v>
      </c>
      <c r="AD378" s="41">
        <v>15000</v>
      </c>
      <c r="AE378" s="1">
        <f t="shared" si="197"/>
        <v>7000</v>
      </c>
      <c r="AF378" s="1">
        <f t="shared" si="198"/>
        <v>15000</v>
      </c>
    </row>
    <row r="379" spans="1:32">
      <c r="A379" s="42">
        <v>17000</v>
      </c>
      <c r="B379" s="11">
        <v>21200</v>
      </c>
      <c r="C379" s="39" t="s">
        <v>806</v>
      </c>
      <c r="D379" s="7"/>
      <c r="E379" s="7"/>
      <c r="F379" s="7"/>
      <c r="G379" s="7"/>
      <c r="H379" s="7"/>
      <c r="I379" s="1"/>
      <c r="J379" s="1"/>
      <c r="K379" s="1"/>
      <c r="L379" s="1"/>
      <c r="N379" s="1"/>
      <c r="O379" s="1"/>
      <c r="T379" s="1"/>
      <c r="V379" s="1"/>
      <c r="W379" s="1">
        <v>0</v>
      </c>
      <c r="X379" s="1">
        <v>30000</v>
      </c>
      <c r="Y379" s="41">
        <f t="shared" si="216"/>
        <v>30000</v>
      </c>
      <c r="Z379" s="1">
        <f t="shared" si="217"/>
        <v>30000</v>
      </c>
      <c r="AA379" s="1">
        <v>30000</v>
      </c>
      <c r="AB379" s="1">
        <f t="shared" si="218"/>
        <v>0</v>
      </c>
      <c r="AC379" s="1">
        <f t="shared" si="219"/>
        <v>30000</v>
      </c>
      <c r="AD379" s="41">
        <v>10000</v>
      </c>
      <c r="AE379" s="1">
        <f t="shared" si="197"/>
        <v>-20000</v>
      </c>
      <c r="AF379" s="1">
        <f t="shared" si="198"/>
        <v>10000</v>
      </c>
    </row>
    <row r="380" spans="1:32">
      <c r="A380" s="13">
        <v>23110</v>
      </c>
      <c r="B380" s="11">
        <v>21200</v>
      </c>
      <c r="C380" s="11" t="s">
        <v>320</v>
      </c>
      <c r="D380" s="8"/>
      <c r="E380" s="8"/>
      <c r="F380" s="8"/>
      <c r="G380" s="8"/>
      <c r="H380" s="8"/>
      <c r="I380" s="8"/>
      <c r="J380" s="8"/>
      <c r="K380" s="8"/>
      <c r="L380" s="10">
        <v>5000</v>
      </c>
      <c r="M380" s="10">
        <v>0</v>
      </c>
      <c r="N380" s="7">
        <f>L380+M380</f>
        <v>5000</v>
      </c>
      <c r="O380" s="7"/>
      <c r="P380" s="16"/>
      <c r="Q380" s="1">
        <f>N380+P380</f>
        <v>5000</v>
      </c>
      <c r="R380" s="3"/>
      <c r="S380" s="16"/>
      <c r="T380" s="1">
        <f>Q380+S380</f>
        <v>5000</v>
      </c>
      <c r="U380" s="1">
        <f>R380+T380</f>
        <v>5000</v>
      </c>
      <c r="V380" s="1">
        <f>U380-T380</f>
        <v>0</v>
      </c>
      <c r="W380" s="1">
        <f>T380+V380</f>
        <v>5000</v>
      </c>
      <c r="X380" s="41">
        <v>3000</v>
      </c>
      <c r="Y380" s="41">
        <f t="shared" si="216"/>
        <v>-2000</v>
      </c>
      <c r="Z380" s="1">
        <f t="shared" si="217"/>
        <v>3000</v>
      </c>
      <c r="AA380" s="41">
        <v>15000</v>
      </c>
      <c r="AB380" s="41">
        <f t="shared" si="218"/>
        <v>12000</v>
      </c>
      <c r="AC380" s="1">
        <f t="shared" si="219"/>
        <v>15000</v>
      </c>
      <c r="AD380" s="41">
        <v>15000</v>
      </c>
      <c r="AE380" s="1">
        <f t="shared" si="197"/>
        <v>0</v>
      </c>
      <c r="AF380" s="1">
        <f t="shared" si="198"/>
        <v>15000</v>
      </c>
    </row>
    <row r="381" spans="1:32">
      <c r="A381" s="13">
        <v>23111</v>
      </c>
      <c r="B381" s="11">
        <v>21200</v>
      </c>
      <c r="C381" s="11" t="s">
        <v>94</v>
      </c>
      <c r="D381" s="7"/>
      <c r="E381" s="7"/>
      <c r="F381" s="7"/>
      <c r="G381" s="7"/>
      <c r="H381" s="7">
        <v>0</v>
      </c>
      <c r="I381" s="7">
        <v>20000</v>
      </c>
      <c r="J381" s="7">
        <f>H381-I381</f>
        <v>-20000</v>
      </c>
      <c r="K381" s="7">
        <v>20000</v>
      </c>
      <c r="L381" s="7">
        <v>20000</v>
      </c>
      <c r="M381" s="10">
        <v>-15000</v>
      </c>
      <c r="N381" s="7">
        <f>L381+M381</f>
        <v>5000</v>
      </c>
      <c r="O381" s="7"/>
      <c r="Q381" s="1">
        <f>N381+P381</f>
        <v>5000</v>
      </c>
      <c r="T381" s="1">
        <f>Q381+S381</f>
        <v>5000</v>
      </c>
      <c r="U381" s="1">
        <f>R381+T381</f>
        <v>5000</v>
      </c>
      <c r="V381" s="1">
        <f>U381-T381</f>
        <v>0</v>
      </c>
      <c r="W381" s="1">
        <f>T381+V381</f>
        <v>5000</v>
      </c>
      <c r="X381" s="1">
        <v>5000</v>
      </c>
      <c r="Y381" s="41">
        <f t="shared" si="216"/>
        <v>0</v>
      </c>
      <c r="Z381" s="1">
        <f t="shared" si="217"/>
        <v>5000</v>
      </c>
      <c r="AA381" s="41">
        <v>1000</v>
      </c>
      <c r="AB381" s="41">
        <f t="shared" si="218"/>
        <v>-4000</v>
      </c>
      <c r="AC381" s="1">
        <f t="shared" si="219"/>
        <v>1000</v>
      </c>
      <c r="AD381" s="41">
        <v>8000</v>
      </c>
      <c r="AE381" s="1">
        <f t="shared" si="197"/>
        <v>7000</v>
      </c>
      <c r="AF381" s="1">
        <f t="shared" si="198"/>
        <v>8000</v>
      </c>
    </row>
    <row r="382" spans="1:32">
      <c r="A382" s="11">
        <v>23112</v>
      </c>
      <c r="B382" s="11">
        <v>21200</v>
      </c>
      <c r="C382" s="39" t="s">
        <v>734</v>
      </c>
      <c r="D382" s="7"/>
      <c r="E382" s="7"/>
      <c r="F382" s="7"/>
      <c r="G382" s="7"/>
      <c r="H382" s="10"/>
      <c r="I382" s="16"/>
      <c r="J382" s="16"/>
      <c r="K382" s="16"/>
      <c r="L382" s="1"/>
      <c r="N382" s="1"/>
      <c r="O382" s="1"/>
      <c r="T382" s="1"/>
      <c r="V382" s="1"/>
      <c r="W382" s="1">
        <v>0</v>
      </c>
      <c r="X382" s="1">
        <v>2000</v>
      </c>
      <c r="Y382" s="41">
        <f t="shared" si="216"/>
        <v>2000</v>
      </c>
      <c r="Z382" s="1">
        <f t="shared" si="217"/>
        <v>2000</v>
      </c>
      <c r="AA382" s="1">
        <v>2000</v>
      </c>
      <c r="AB382" s="1">
        <f t="shared" si="218"/>
        <v>0</v>
      </c>
      <c r="AC382" s="1">
        <f t="shared" si="219"/>
        <v>2000</v>
      </c>
      <c r="AD382" s="41">
        <v>0</v>
      </c>
      <c r="AE382" s="1">
        <f t="shared" si="197"/>
        <v>-2000</v>
      </c>
      <c r="AF382" s="1">
        <f t="shared" si="198"/>
        <v>0</v>
      </c>
    </row>
    <row r="383" spans="1:32">
      <c r="A383" s="42">
        <v>23113</v>
      </c>
      <c r="B383" s="11">
        <v>21200</v>
      </c>
      <c r="C383" s="11" t="s">
        <v>345</v>
      </c>
      <c r="D383" s="7">
        <v>5000</v>
      </c>
      <c r="E383" s="7">
        <v>10000</v>
      </c>
      <c r="F383" s="7">
        <f t="shared" ref="F383:F394" si="220">D383-E383</f>
        <v>-5000</v>
      </c>
      <c r="G383" s="7">
        <v>5000</v>
      </c>
      <c r="H383" s="7">
        <f t="shared" ref="H383:H394" si="221">D383+G383</f>
        <v>10000</v>
      </c>
      <c r="I383" s="7"/>
      <c r="J383" s="7">
        <f t="shared" ref="J383:J394" si="222">H383-I383</f>
        <v>10000</v>
      </c>
      <c r="K383" s="7"/>
      <c r="L383" s="7">
        <v>10000</v>
      </c>
      <c r="M383" s="7">
        <v>0</v>
      </c>
      <c r="N383" s="7">
        <f t="shared" ref="N383:N394" si="223">L383+M383</f>
        <v>10000</v>
      </c>
      <c r="O383" s="7"/>
      <c r="P383" s="3"/>
      <c r="Q383" s="1">
        <f t="shared" ref="Q383:Q394" si="224">N383+P383</f>
        <v>10000</v>
      </c>
      <c r="R383" s="3"/>
      <c r="S383" s="3"/>
      <c r="T383" s="1">
        <f t="shared" ref="T383:U386" si="225">Q383+S383</f>
        <v>10000</v>
      </c>
      <c r="U383" s="1">
        <f t="shared" si="225"/>
        <v>10000</v>
      </c>
      <c r="V383" s="1">
        <f>U383-T383</f>
        <v>0</v>
      </c>
      <c r="W383" s="1">
        <f t="shared" ref="W383:W402" si="226">T383+V383</f>
        <v>10000</v>
      </c>
      <c r="X383" s="41">
        <v>15000</v>
      </c>
      <c r="Y383" s="41">
        <f t="shared" si="216"/>
        <v>5000</v>
      </c>
      <c r="Z383" s="1">
        <f t="shared" si="217"/>
        <v>15000</v>
      </c>
      <c r="AA383" s="41">
        <v>30000</v>
      </c>
      <c r="AB383" s="41">
        <f t="shared" si="218"/>
        <v>15000</v>
      </c>
      <c r="AC383" s="1">
        <f t="shared" si="219"/>
        <v>30000</v>
      </c>
      <c r="AD383" s="41">
        <v>5000</v>
      </c>
      <c r="AE383" s="1">
        <f t="shared" si="197"/>
        <v>-25000</v>
      </c>
      <c r="AF383" s="1">
        <f t="shared" si="198"/>
        <v>5000</v>
      </c>
    </row>
    <row r="384" spans="1:32">
      <c r="A384" s="11">
        <v>32000</v>
      </c>
      <c r="B384" s="11">
        <v>21200</v>
      </c>
      <c r="C384" s="11" t="s">
        <v>666</v>
      </c>
      <c r="D384" s="7">
        <v>100000</v>
      </c>
      <c r="E384" s="7"/>
      <c r="F384" s="7">
        <f t="shared" si="220"/>
        <v>100000</v>
      </c>
      <c r="G384" s="7">
        <v>-20000</v>
      </c>
      <c r="H384" s="7">
        <f t="shared" si="221"/>
        <v>80000</v>
      </c>
      <c r="I384" s="1"/>
      <c r="J384" s="1">
        <f t="shared" si="222"/>
        <v>80000</v>
      </c>
      <c r="K384" s="1"/>
      <c r="L384" s="1">
        <f>H384+K384</f>
        <v>80000</v>
      </c>
      <c r="N384" s="1">
        <f t="shared" si="223"/>
        <v>80000</v>
      </c>
      <c r="O384" s="1"/>
      <c r="P384" s="16">
        <v>60000</v>
      </c>
      <c r="Q384" s="1">
        <f t="shared" si="224"/>
        <v>140000</v>
      </c>
      <c r="R384" s="3"/>
      <c r="S384" s="16">
        <v>-70000</v>
      </c>
      <c r="T384" s="1">
        <f t="shared" si="225"/>
        <v>70000</v>
      </c>
      <c r="U384" s="1">
        <f t="shared" si="225"/>
        <v>70000</v>
      </c>
      <c r="V384" s="1">
        <f>U384-T384</f>
        <v>0</v>
      </c>
      <c r="W384" s="1">
        <f t="shared" si="226"/>
        <v>70000</v>
      </c>
      <c r="X384" s="41">
        <v>70000</v>
      </c>
      <c r="Y384" s="41">
        <f t="shared" si="216"/>
        <v>0</v>
      </c>
      <c r="Z384" s="1">
        <f t="shared" si="217"/>
        <v>70000</v>
      </c>
      <c r="AA384" s="41">
        <v>70000</v>
      </c>
      <c r="AB384" s="41">
        <f t="shared" si="218"/>
        <v>0</v>
      </c>
      <c r="AC384" s="1">
        <f t="shared" si="219"/>
        <v>70000</v>
      </c>
      <c r="AD384" s="41">
        <v>70000</v>
      </c>
      <c r="AE384" s="1">
        <f t="shared" si="197"/>
        <v>0</v>
      </c>
      <c r="AF384" s="1">
        <f t="shared" si="198"/>
        <v>70000</v>
      </c>
    </row>
    <row r="385" spans="1:32">
      <c r="A385" s="11">
        <v>33400</v>
      </c>
      <c r="B385" s="11">
        <v>21200</v>
      </c>
      <c r="C385" s="42" t="s">
        <v>683</v>
      </c>
      <c r="D385" s="7">
        <v>60000</v>
      </c>
      <c r="E385" s="7"/>
      <c r="F385" s="7">
        <f t="shared" si="220"/>
        <v>60000</v>
      </c>
      <c r="G385" s="7">
        <v>-20000</v>
      </c>
      <c r="H385" s="7">
        <f t="shared" si="221"/>
        <v>40000</v>
      </c>
      <c r="I385" s="1"/>
      <c r="J385" s="1">
        <f t="shared" si="222"/>
        <v>40000</v>
      </c>
      <c r="K385" s="1"/>
      <c r="L385" s="1">
        <f>H385+K385</f>
        <v>40000</v>
      </c>
      <c r="M385" s="7">
        <v>-15000</v>
      </c>
      <c r="N385" s="1">
        <f t="shared" si="223"/>
        <v>25000</v>
      </c>
      <c r="O385" s="1"/>
      <c r="Q385" s="1">
        <f t="shared" si="224"/>
        <v>25000</v>
      </c>
      <c r="T385" s="1">
        <f t="shared" si="225"/>
        <v>25000</v>
      </c>
      <c r="U385" s="1">
        <f t="shared" si="225"/>
        <v>25000</v>
      </c>
      <c r="V385" s="1">
        <f>U385-T385</f>
        <v>0</v>
      </c>
      <c r="W385" s="1">
        <f t="shared" si="226"/>
        <v>25000</v>
      </c>
      <c r="X385" s="1">
        <v>30000</v>
      </c>
      <c r="Y385" s="41">
        <f t="shared" si="216"/>
        <v>5000</v>
      </c>
      <c r="Z385" s="1">
        <f t="shared" si="217"/>
        <v>30000</v>
      </c>
      <c r="AA385" s="1">
        <v>50000</v>
      </c>
      <c r="AB385" s="1">
        <f t="shared" si="218"/>
        <v>20000</v>
      </c>
      <c r="AC385" s="1">
        <f t="shared" si="219"/>
        <v>50000</v>
      </c>
      <c r="AD385" s="41">
        <v>30000</v>
      </c>
      <c r="AE385" s="1">
        <f t="shared" si="197"/>
        <v>-20000</v>
      </c>
      <c r="AF385" s="1">
        <f t="shared" si="198"/>
        <v>30000</v>
      </c>
    </row>
    <row r="386" spans="1:32">
      <c r="A386" s="11">
        <v>33600</v>
      </c>
      <c r="B386" s="11">
        <v>21200</v>
      </c>
      <c r="C386" s="11" t="s">
        <v>461</v>
      </c>
      <c r="D386" s="7">
        <v>15000</v>
      </c>
      <c r="E386" s="7"/>
      <c r="F386" s="7">
        <f t="shared" si="220"/>
        <v>15000</v>
      </c>
      <c r="G386" s="7">
        <v>-5000</v>
      </c>
      <c r="H386" s="7">
        <f t="shared" si="221"/>
        <v>10000</v>
      </c>
      <c r="I386" s="1"/>
      <c r="J386" s="1">
        <f t="shared" si="222"/>
        <v>10000</v>
      </c>
      <c r="K386" s="1"/>
      <c r="L386" s="1">
        <f>H386+K386</f>
        <v>10000</v>
      </c>
      <c r="M386" s="7">
        <v>-5000</v>
      </c>
      <c r="N386" s="1">
        <f t="shared" si="223"/>
        <v>5000</v>
      </c>
      <c r="O386" s="1"/>
      <c r="P386" s="16">
        <v>15000</v>
      </c>
      <c r="Q386" s="1">
        <f t="shared" si="224"/>
        <v>20000</v>
      </c>
      <c r="R386" s="3"/>
      <c r="S386" s="16"/>
      <c r="T386" s="1">
        <f t="shared" si="225"/>
        <v>20000</v>
      </c>
      <c r="U386" s="1">
        <f t="shared" si="225"/>
        <v>20000</v>
      </c>
      <c r="V386" s="1">
        <f>U386-T386</f>
        <v>0</v>
      </c>
      <c r="W386" s="1">
        <f t="shared" si="226"/>
        <v>20000</v>
      </c>
      <c r="X386" s="41">
        <v>15000</v>
      </c>
      <c r="Y386" s="41">
        <f t="shared" si="216"/>
        <v>-5000</v>
      </c>
      <c r="Z386" s="1">
        <f t="shared" si="217"/>
        <v>15000</v>
      </c>
      <c r="AA386" s="41">
        <v>20000</v>
      </c>
      <c r="AB386" s="1">
        <f t="shared" si="218"/>
        <v>5000</v>
      </c>
      <c r="AC386" s="1">
        <f t="shared" si="219"/>
        <v>20000</v>
      </c>
      <c r="AD386" s="41">
        <v>30000</v>
      </c>
      <c r="AE386" s="1">
        <f t="shared" si="197"/>
        <v>10000</v>
      </c>
      <c r="AF386" s="1">
        <f t="shared" si="198"/>
        <v>30000</v>
      </c>
    </row>
    <row r="387" spans="1:32">
      <c r="A387" s="11">
        <v>33700</v>
      </c>
      <c r="B387" s="11">
        <v>21200</v>
      </c>
      <c r="C387" s="11" t="s">
        <v>320</v>
      </c>
      <c r="D387" s="7">
        <v>5000</v>
      </c>
      <c r="E387" s="7"/>
      <c r="F387" s="7">
        <f t="shared" si="220"/>
        <v>5000</v>
      </c>
      <c r="G387" s="7"/>
      <c r="H387" s="7">
        <f t="shared" si="221"/>
        <v>5000</v>
      </c>
      <c r="I387" s="1"/>
      <c r="J387" s="1">
        <f t="shared" si="222"/>
        <v>5000</v>
      </c>
      <c r="K387" s="1"/>
      <c r="L387" s="1">
        <f>H387+K387</f>
        <v>5000</v>
      </c>
      <c r="N387" s="1">
        <f t="shared" si="223"/>
        <v>5000</v>
      </c>
      <c r="O387" s="1"/>
      <c r="Q387" s="1">
        <f t="shared" si="224"/>
        <v>5000</v>
      </c>
      <c r="R387" s="1">
        <v>30000</v>
      </c>
      <c r="S387" s="1">
        <f>R387-Q387</f>
        <v>25000</v>
      </c>
      <c r="T387" s="1">
        <f t="shared" ref="T387:T402" si="227">Q387+S387</f>
        <v>30000</v>
      </c>
      <c r="U387" s="1">
        <v>42000</v>
      </c>
      <c r="V387" s="1">
        <f>U387-T387</f>
        <v>12000</v>
      </c>
      <c r="W387" s="1">
        <f t="shared" si="226"/>
        <v>42000</v>
      </c>
      <c r="X387" s="1">
        <v>35000</v>
      </c>
      <c r="Y387" s="41">
        <f t="shared" si="216"/>
        <v>-7000</v>
      </c>
      <c r="Z387" s="1">
        <f t="shared" si="217"/>
        <v>35000</v>
      </c>
      <c r="AA387" s="1">
        <v>37000</v>
      </c>
      <c r="AB387" s="1">
        <f t="shared" si="218"/>
        <v>2000</v>
      </c>
      <c r="AC387" s="1">
        <f t="shared" si="219"/>
        <v>37000</v>
      </c>
      <c r="AD387" s="41">
        <v>32000</v>
      </c>
      <c r="AE387" s="1">
        <f t="shared" si="197"/>
        <v>-5000</v>
      </c>
      <c r="AF387" s="1">
        <f t="shared" si="198"/>
        <v>32000</v>
      </c>
    </row>
    <row r="388" spans="1:32">
      <c r="A388" s="11">
        <v>33710</v>
      </c>
      <c r="B388" s="11">
        <v>21200</v>
      </c>
      <c r="C388" s="11" t="s">
        <v>320</v>
      </c>
      <c r="D388" s="7">
        <v>4000</v>
      </c>
      <c r="E388" s="7"/>
      <c r="F388" s="7">
        <f t="shared" si="220"/>
        <v>4000</v>
      </c>
      <c r="G388" s="7"/>
      <c r="H388" s="7">
        <f t="shared" si="221"/>
        <v>4000</v>
      </c>
      <c r="I388" s="7"/>
      <c r="J388" s="7">
        <f t="shared" si="222"/>
        <v>4000</v>
      </c>
      <c r="K388" s="7"/>
      <c r="L388" s="7">
        <v>4000</v>
      </c>
      <c r="M388" s="7">
        <v>0</v>
      </c>
      <c r="N388" s="7">
        <f t="shared" si="223"/>
        <v>4000</v>
      </c>
      <c r="O388" s="7"/>
      <c r="Q388" s="1">
        <f t="shared" si="224"/>
        <v>4000</v>
      </c>
      <c r="T388" s="1">
        <f t="shared" si="227"/>
        <v>4000</v>
      </c>
      <c r="U388" s="1">
        <v>19000</v>
      </c>
      <c r="V388" s="1">
        <v>15000</v>
      </c>
      <c r="W388" s="1">
        <f t="shared" si="226"/>
        <v>19000</v>
      </c>
      <c r="X388" s="1">
        <v>19000</v>
      </c>
      <c r="Y388" s="41">
        <f t="shared" si="216"/>
        <v>0</v>
      </c>
      <c r="Z388" s="1">
        <f t="shared" si="217"/>
        <v>19000</v>
      </c>
      <c r="AA388" s="1">
        <f>X388+Z388</f>
        <v>38000</v>
      </c>
      <c r="AB388" s="1">
        <f t="shared" si="218"/>
        <v>19000</v>
      </c>
      <c r="AC388" s="1">
        <f t="shared" si="219"/>
        <v>38000</v>
      </c>
      <c r="AD388" s="41">
        <v>38000</v>
      </c>
      <c r="AE388" s="1">
        <f t="shared" si="197"/>
        <v>0</v>
      </c>
      <c r="AF388" s="1">
        <f t="shared" si="198"/>
        <v>38000</v>
      </c>
    </row>
    <row r="389" spans="1:32">
      <c r="A389" s="11">
        <v>34000</v>
      </c>
      <c r="B389" s="11">
        <v>21200</v>
      </c>
      <c r="C389" s="11" t="s">
        <v>440</v>
      </c>
      <c r="D389" s="7">
        <v>136554</v>
      </c>
      <c r="E389" s="7"/>
      <c r="F389" s="7">
        <f t="shared" si="220"/>
        <v>136554</v>
      </c>
      <c r="G389" s="7">
        <v>-70000</v>
      </c>
      <c r="H389" s="7">
        <f t="shared" si="221"/>
        <v>66554</v>
      </c>
      <c r="I389" s="1"/>
      <c r="J389" s="1">
        <f t="shared" si="222"/>
        <v>66554</v>
      </c>
      <c r="K389" s="1"/>
      <c r="L389" s="1">
        <f>H389+K389</f>
        <v>66554</v>
      </c>
      <c r="N389" s="1">
        <f t="shared" si="223"/>
        <v>66554</v>
      </c>
      <c r="O389" s="1"/>
      <c r="Q389" s="1">
        <f t="shared" si="224"/>
        <v>66554</v>
      </c>
      <c r="T389" s="1">
        <f t="shared" si="227"/>
        <v>66554</v>
      </c>
      <c r="U389" s="1">
        <f t="shared" ref="U389:U399" si="228">R389+T389</f>
        <v>66554</v>
      </c>
      <c r="V389" s="1">
        <f t="shared" ref="V389:V399" si="229">U389-T389</f>
        <v>0</v>
      </c>
      <c r="W389" s="1">
        <f t="shared" si="226"/>
        <v>66554</v>
      </c>
      <c r="X389" s="1">
        <v>66000</v>
      </c>
      <c r="Y389" s="41">
        <f t="shared" si="216"/>
        <v>-554</v>
      </c>
      <c r="Z389" s="1">
        <f t="shared" si="217"/>
        <v>66000</v>
      </c>
      <c r="AA389" s="1">
        <v>60000</v>
      </c>
      <c r="AB389" s="1">
        <f t="shared" si="218"/>
        <v>-6000</v>
      </c>
      <c r="AC389" s="1">
        <f t="shared" si="219"/>
        <v>60000</v>
      </c>
      <c r="AD389" s="41">
        <v>50000</v>
      </c>
      <c r="AE389" s="1">
        <f t="shared" si="197"/>
        <v>-10000</v>
      </c>
      <c r="AF389" s="1">
        <f t="shared" si="198"/>
        <v>50000</v>
      </c>
    </row>
    <row r="390" spans="1:32">
      <c r="A390" s="11">
        <v>43120</v>
      </c>
      <c r="B390" s="11">
        <v>21200</v>
      </c>
      <c r="C390" s="11" t="s">
        <v>90</v>
      </c>
      <c r="D390" s="7">
        <v>36000</v>
      </c>
      <c r="E390" s="8"/>
      <c r="F390" s="7">
        <f t="shared" si="220"/>
        <v>36000</v>
      </c>
      <c r="G390" s="10">
        <v>-6000</v>
      </c>
      <c r="H390" s="7">
        <f t="shared" si="221"/>
        <v>30000</v>
      </c>
      <c r="I390" s="8"/>
      <c r="J390" s="7">
        <f t="shared" si="222"/>
        <v>30000</v>
      </c>
      <c r="K390" s="8"/>
      <c r="L390" s="7">
        <v>30000</v>
      </c>
      <c r="M390" s="10">
        <v>0</v>
      </c>
      <c r="N390" s="7">
        <f t="shared" si="223"/>
        <v>30000</v>
      </c>
      <c r="O390" s="7"/>
      <c r="Q390" s="1">
        <f t="shared" si="224"/>
        <v>30000</v>
      </c>
      <c r="T390" s="1">
        <f t="shared" si="227"/>
        <v>30000</v>
      </c>
      <c r="U390" s="1">
        <f t="shared" si="228"/>
        <v>30000</v>
      </c>
      <c r="V390" s="1">
        <f t="shared" si="229"/>
        <v>0</v>
      </c>
      <c r="W390" s="1">
        <f t="shared" si="226"/>
        <v>30000</v>
      </c>
      <c r="X390" s="1">
        <v>45000</v>
      </c>
      <c r="Y390" s="41">
        <f t="shared" si="216"/>
        <v>15000</v>
      </c>
      <c r="Z390" s="1">
        <f t="shared" si="217"/>
        <v>45000</v>
      </c>
      <c r="AA390" s="1">
        <v>45000</v>
      </c>
      <c r="AB390" s="41">
        <f t="shared" si="218"/>
        <v>0</v>
      </c>
      <c r="AC390" s="1">
        <f t="shared" si="219"/>
        <v>45000</v>
      </c>
      <c r="AD390" s="41">
        <v>15000</v>
      </c>
      <c r="AE390" s="1">
        <f t="shared" si="197"/>
        <v>-30000</v>
      </c>
      <c r="AF390" s="1">
        <f t="shared" si="198"/>
        <v>15000</v>
      </c>
    </row>
    <row r="391" spans="1:32">
      <c r="A391" s="13">
        <v>43200</v>
      </c>
      <c r="B391" s="11">
        <v>21200</v>
      </c>
      <c r="C391" s="11" t="s">
        <v>514</v>
      </c>
      <c r="D391" s="7">
        <v>4904.26</v>
      </c>
      <c r="E391" s="7"/>
      <c r="F391" s="7">
        <f t="shared" si="220"/>
        <v>4904.26</v>
      </c>
      <c r="G391" s="7">
        <v>-1904.26</v>
      </c>
      <c r="H391" s="7">
        <f t="shared" si="221"/>
        <v>3000</v>
      </c>
      <c r="I391" s="1"/>
      <c r="J391" s="1">
        <f t="shared" si="222"/>
        <v>3000</v>
      </c>
      <c r="K391" s="1"/>
      <c r="L391" s="1">
        <f>H391+K391</f>
        <v>3000</v>
      </c>
      <c r="M391" s="7">
        <v>-3000</v>
      </c>
      <c r="N391" s="1">
        <f t="shared" si="223"/>
        <v>0</v>
      </c>
      <c r="O391" s="1"/>
      <c r="P391" s="1">
        <v>100000</v>
      </c>
      <c r="Q391" s="1">
        <f t="shared" si="224"/>
        <v>100000</v>
      </c>
      <c r="S391" s="1">
        <v>-100000</v>
      </c>
      <c r="T391" s="1">
        <f t="shared" si="227"/>
        <v>0</v>
      </c>
      <c r="U391" s="1">
        <f t="shared" si="228"/>
        <v>0</v>
      </c>
      <c r="V391" s="1">
        <f t="shared" si="229"/>
        <v>0</v>
      </c>
      <c r="W391" s="1">
        <f t="shared" si="226"/>
        <v>0</v>
      </c>
      <c r="X391" s="1">
        <v>0</v>
      </c>
      <c r="Y391" s="41">
        <f t="shared" si="216"/>
        <v>0</v>
      </c>
      <c r="Z391" s="1">
        <f t="shared" si="217"/>
        <v>0</v>
      </c>
      <c r="AA391" s="1">
        <v>15000</v>
      </c>
      <c r="AB391" s="41">
        <f t="shared" si="218"/>
        <v>15000</v>
      </c>
      <c r="AC391" s="1">
        <f t="shared" si="219"/>
        <v>15000</v>
      </c>
      <c r="AD391" s="41">
        <v>0</v>
      </c>
      <c r="AE391" s="1">
        <f t="shared" ref="AE391:AE454" si="230">AD391-AC391</f>
        <v>-15000</v>
      </c>
      <c r="AF391" s="1">
        <f t="shared" ref="AF391:AF454" si="231">AC391+AE391</f>
        <v>0</v>
      </c>
    </row>
    <row r="392" spans="1:32">
      <c r="A392" s="11">
        <v>45900</v>
      </c>
      <c r="B392" s="11">
        <v>21200</v>
      </c>
      <c r="C392" s="11" t="s">
        <v>168</v>
      </c>
      <c r="D392" s="7">
        <v>80000</v>
      </c>
      <c r="E392" s="7"/>
      <c r="F392" s="7">
        <f t="shared" si="220"/>
        <v>80000</v>
      </c>
      <c r="G392" s="7">
        <v>-1000</v>
      </c>
      <c r="H392" s="7">
        <f t="shared" si="221"/>
        <v>79000</v>
      </c>
      <c r="I392" s="1"/>
      <c r="J392" s="1">
        <f t="shared" si="222"/>
        <v>79000</v>
      </c>
      <c r="K392" s="1"/>
      <c r="L392" s="1">
        <f>H392+K392</f>
        <v>79000</v>
      </c>
      <c r="N392" s="1">
        <f t="shared" si="223"/>
        <v>79000</v>
      </c>
      <c r="O392" s="1"/>
      <c r="Q392" s="1">
        <f t="shared" si="224"/>
        <v>79000</v>
      </c>
      <c r="T392" s="1">
        <f t="shared" si="227"/>
        <v>79000</v>
      </c>
      <c r="U392" s="1">
        <f t="shared" si="228"/>
        <v>79000</v>
      </c>
      <c r="V392" s="1">
        <f t="shared" si="229"/>
        <v>0</v>
      </c>
      <c r="W392" s="1">
        <f t="shared" si="226"/>
        <v>79000</v>
      </c>
      <c r="X392" s="1">
        <v>80000</v>
      </c>
      <c r="Y392" s="41">
        <f t="shared" si="216"/>
        <v>1000</v>
      </c>
      <c r="Z392" s="1">
        <f t="shared" si="217"/>
        <v>80000</v>
      </c>
      <c r="AA392" s="1">
        <v>80000</v>
      </c>
      <c r="AB392" s="1">
        <f t="shared" si="218"/>
        <v>0</v>
      </c>
      <c r="AC392" s="1">
        <f t="shared" si="219"/>
        <v>80000</v>
      </c>
      <c r="AD392" s="41">
        <v>80000</v>
      </c>
      <c r="AE392" s="1">
        <f t="shared" si="230"/>
        <v>0</v>
      </c>
      <c r="AF392" s="1">
        <f t="shared" si="231"/>
        <v>80000</v>
      </c>
    </row>
    <row r="393" spans="1:32">
      <c r="A393" s="11">
        <v>13000</v>
      </c>
      <c r="B393" s="11">
        <v>21300</v>
      </c>
      <c r="C393" s="11" t="s">
        <v>270</v>
      </c>
      <c r="D393" s="7">
        <v>5000</v>
      </c>
      <c r="E393" s="7"/>
      <c r="F393" s="7">
        <f t="shared" si="220"/>
        <v>5000</v>
      </c>
      <c r="G393" s="7"/>
      <c r="H393" s="7">
        <f t="shared" si="221"/>
        <v>5000</v>
      </c>
      <c r="I393" s="1"/>
      <c r="J393" s="1">
        <f t="shared" si="222"/>
        <v>5000</v>
      </c>
      <c r="K393" s="1"/>
      <c r="L393" s="1">
        <f>H393+K393</f>
        <v>5000</v>
      </c>
      <c r="N393" s="1">
        <f t="shared" si="223"/>
        <v>5000</v>
      </c>
      <c r="O393" s="1"/>
      <c r="Q393" s="1">
        <f t="shared" si="224"/>
        <v>5000</v>
      </c>
      <c r="T393" s="1">
        <f t="shared" si="227"/>
        <v>5000</v>
      </c>
      <c r="U393" s="1">
        <f t="shared" si="228"/>
        <v>5000</v>
      </c>
      <c r="V393" s="1">
        <f t="shared" si="229"/>
        <v>0</v>
      </c>
      <c r="W393" s="1">
        <f t="shared" si="226"/>
        <v>5000</v>
      </c>
      <c r="X393" s="1">
        <v>8000</v>
      </c>
      <c r="Y393" s="41">
        <f t="shared" si="216"/>
        <v>3000</v>
      </c>
      <c r="Z393" s="1">
        <f t="shared" si="217"/>
        <v>8000</v>
      </c>
      <c r="AA393" s="1">
        <v>8300</v>
      </c>
      <c r="AB393" s="1">
        <f t="shared" si="218"/>
        <v>300</v>
      </c>
      <c r="AC393" s="1">
        <f t="shared" si="219"/>
        <v>8300</v>
      </c>
      <c r="AD393" s="41">
        <v>5000</v>
      </c>
      <c r="AE393" s="1">
        <f t="shared" si="230"/>
        <v>-3300</v>
      </c>
      <c r="AF393" s="1">
        <f t="shared" si="231"/>
        <v>5000</v>
      </c>
    </row>
    <row r="394" spans="1:32">
      <c r="A394" s="11">
        <v>13200</v>
      </c>
      <c r="B394" s="11">
        <v>21300</v>
      </c>
      <c r="C394" s="11" t="s">
        <v>301</v>
      </c>
      <c r="D394" s="7">
        <v>20000</v>
      </c>
      <c r="E394" s="7">
        <v>15000</v>
      </c>
      <c r="F394" s="7">
        <f t="shared" si="220"/>
        <v>5000</v>
      </c>
      <c r="G394" s="7">
        <v>-5000</v>
      </c>
      <c r="H394" s="7">
        <f t="shared" si="221"/>
        <v>15000</v>
      </c>
      <c r="I394" s="1"/>
      <c r="J394" s="1">
        <f t="shared" si="222"/>
        <v>15000</v>
      </c>
      <c r="K394" s="1"/>
      <c r="L394" s="1">
        <f>H394+K394</f>
        <v>15000</v>
      </c>
      <c r="M394" s="7">
        <v>5000</v>
      </c>
      <c r="N394" s="1">
        <f t="shared" si="223"/>
        <v>20000</v>
      </c>
      <c r="O394" s="1"/>
      <c r="P394" s="1">
        <v>5000</v>
      </c>
      <c r="Q394" s="1">
        <f t="shared" si="224"/>
        <v>25000</v>
      </c>
      <c r="R394" s="1">
        <v>0</v>
      </c>
      <c r="S394" s="1">
        <v>-10000</v>
      </c>
      <c r="T394" s="1">
        <f t="shared" si="227"/>
        <v>15000</v>
      </c>
      <c r="U394" s="1">
        <f t="shared" si="228"/>
        <v>15000</v>
      </c>
      <c r="V394" s="1">
        <f t="shared" si="229"/>
        <v>0</v>
      </c>
      <c r="W394" s="1">
        <f t="shared" si="226"/>
        <v>15000</v>
      </c>
      <c r="X394" s="1">
        <v>23000</v>
      </c>
      <c r="Y394" s="41">
        <f t="shared" si="216"/>
        <v>8000</v>
      </c>
      <c r="Z394" s="1">
        <f t="shared" si="217"/>
        <v>23000</v>
      </c>
      <c r="AA394" s="1">
        <v>23000</v>
      </c>
      <c r="AB394" s="1">
        <f t="shared" si="218"/>
        <v>0</v>
      </c>
      <c r="AC394" s="1">
        <f t="shared" si="219"/>
        <v>23000</v>
      </c>
      <c r="AD394" s="41">
        <v>23000</v>
      </c>
      <c r="AE394" s="1">
        <f t="shared" si="230"/>
        <v>0</v>
      </c>
      <c r="AF394" s="1">
        <f t="shared" si="231"/>
        <v>23000</v>
      </c>
    </row>
    <row r="395" spans="1:32">
      <c r="A395" s="11">
        <v>13300</v>
      </c>
      <c r="B395" s="11">
        <v>21300</v>
      </c>
      <c r="C395" s="39" t="s">
        <v>321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47">
        <v>0</v>
      </c>
      <c r="R395" s="3"/>
      <c r="S395" s="47">
        <v>15000</v>
      </c>
      <c r="T395" s="1">
        <f t="shared" si="227"/>
        <v>15000</v>
      </c>
      <c r="U395" s="1">
        <f t="shared" si="228"/>
        <v>15000</v>
      </c>
      <c r="V395" s="1">
        <f t="shared" si="229"/>
        <v>0</v>
      </c>
      <c r="W395" s="1">
        <f t="shared" si="226"/>
        <v>15000</v>
      </c>
      <c r="X395" s="41">
        <v>50000</v>
      </c>
      <c r="Y395" s="41">
        <f t="shared" si="216"/>
        <v>35000</v>
      </c>
      <c r="Z395" s="1">
        <f t="shared" si="217"/>
        <v>50000</v>
      </c>
      <c r="AA395" s="41">
        <v>20000</v>
      </c>
      <c r="AB395" s="41">
        <f t="shared" si="218"/>
        <v>-30000</v>
      </c>
      <c r="AC395" s="1">
        <f t="shared" si="219"/>
        <v>20000</v>
      </c>
      <c r="AD395" s="41">
        <v>15000</v>
      </c>
      <c r="AE395" s="1">
        <f t="shared" si="230"/>
        <v>-5000</v>
      </c>
      <c r="AF395" s="1">
        <f t="shared" si="231"/>
        <v>15000</v>
      </c>
    </row>
    <row r="396" spans="1:32">
      <c r="A396" s="13">
        <v>13500</v>
      </c>
      <c r="B396" s="11">
        <v>21300</v>
      </c>
      <c r="C396" s="11" t="s">
        <v>310</v>
      </c>
      <c r="D396" s="7">
        <v>900</v>
      </c>
      <c r="E396" s="7"/>
      <c r="F396" s="7">
        <f t="shared" ref="F396:F401" si="232">D396-E396</f>
        <v>900</v>
      </c>
      <c r="G396" s="7"/>
      <c r="H396" s="7">
        <f t="shared" ref="H396:H401" si="233">D396+G396</f>
        <v>900</v>
      </c>
      <c r="I396" s="1"/>
      <c r="J396" s="1">
        <f t="shared" ref="J396:J401" si="234">H396-I396</f>
        <v>900</v>
      </c>
      <c r="K396" s="1"/>
      <c r="L396" s="1">
        <f t="shared" ref="L396:L401" si="235">H396+K396</f>
        <v>900</v>
      </c>
      <c r="N396" s="1">
        <f t="shared" ref="N396:N402" si="236">L396+M396</f>
        <v>900</v>
      </c>
      <c r="O396" s="1"/>
      <c r="Q396" s="1">
        <f t="shared" ref="Q396:Q402" si="237">N396+P396</f>
        <v>900</v>
      </c>
      <c r="T396" s="1">
        <f t="shared" si="227"/>
        <v>900</v>
      </c>
      <c r="U396" s="1">
        <f t="shared" si="228"/>
        <v>900</v>
      </c>
      <c r="V396" s="1">
        <f t="shared" si="229"/>
        <v>0</v>
      </c>
      <c r="W396" s="1">
        <f t="shared" si="226"/>
        <v>900</v>
      </c>
      <c r="X396" s="1">
        <v>200</v>
      </c>
      <c r="Y396" s="41">
        <f t="shared" si="216"/>
        <v>-700</v>
      </c>
      <c r="Z396" s="1">
        <f t="shared" si="217"/>
        <v>200</v>
      </c>
      <c r="AA396" s="1">
        <v>200</v>
      </c>
      <c r="AB396" s="41">
        <f t="shared" si="218"/>
        <v>0</v>
      </c>
      <c r="AC396" s="1">
        <f t="shared" si="219"/>
        <v>200</v>
      </c>
      <c r="AD396" s="41">
        <v>200</v>
      </c>
      <c r="AE396" s="1">
        <f t="shared" si="230"/>
        <v>0</v>
      </c>
      <c r="AF396" s="1">
        <f t="shared" si="231"/>
        <v>200</v>
      </c>
    </row>
    <row r="397" spans="1:32">
      <c r="A397" s="11">
        <v>15100</v>
      </c>
      <c r="B397" s="11">
        <v>21300</v>
      </c>
      <c r="C397" s="11" t="s">
        <v>72</v>
      </c>
      <c r="D397" s="7">
        <v>601.01</v>
      </c>
      <c r="E397" s="7"/>
      <c r="F397" s="7">
        <f t="shared" si="232"/>
        <v>601.01</v>
      </c>
      <c r="G397" s="7">
        <v>-101.01</v>
      </c>
      <c r="H397" s="7">
        <f t="shared" si="233"/>
        <v>500</v>
      </c>
      <c r="I397" s="1"/>
      <c r="J397" s="1">
        <f t="shared" si="234"/>
        <v>500</v>
      </c>
      <c r="K397" s="1"/>
      <c r="L397" s="1">
        <f t="shared" si="235"/>
        <v>500</v>
      </c>
      <c r="N397" s="1">
        <f t="shared" si="236"/>
        <v>500</v>
      </c>
      <c r="O397" s="1"/>
      <c r="Q397" s="1">
        <f t="shared" si="237"/>
        <v>500</v>
      </c>
      <c r="T397" s="1">
        <f t="shared" si="227"/>
        <v>500</v>
      </c>
      <c r="U397" s="1">
        <f t="shared" si="228"/>
        <v>500</v>
      </c>
      <c r="V397" s="1">
        <f t="shared" si="229"/>
        <v>0</v>
      </c>
      <c r="W397" s="1">
        <f t="shared" si="226"/>
        <v>500</v>
      </c>
      <c r="X397" s="1">
        <v>9000</v>
      </c>
      <c r="Y397" s="41">
        <f t="shared" si="216"/>
        <v>8500</v>
      </c>
      <c r="Z397" s="1">
        <f t="shared" si="217"/>
        <v>9000</v>
      </c>
      <c r="AA397" s="1">
        <v>15000</v>
      </c>
      <c r="AB397" s="1">
        <f t="shared" si="218"/>
        <v>6000</v>
      </c>
      <c r="AC397" s="1">
        <f t="shared" si="219"/>
        <v>15000</v>
      </c>
      <c r="AD397" s="41">
        <v>5000</v>
      </c>
      <c r="AE397" s="1">
        <f t="shared" si="230"/>
        <v>-10000</v>
      </c>
      <c r="AF397" s="1">
        <f t="shared" si="231"/>
        <v>5000</v>
      </c>
    </row>
    <row r="398" spans="1:32">
      <c r="A398" s="13">
        <v>16400</v>
      </c>
      <c r="B398" s="11">
        <v>21300</v>
      </c>
      <c r="C398" s="11" t="s">
        <v>414</v>
      </c>
      <c r="D398" s="7">
        <v>4608.6000000000004</v>
      </c>
      <c r="E398" s="7"/>
      <c r="F398" s="7">
        <f t="shared" si="232"/>
        <v>4608.6000000000004</v>
      </c>
      <c r="G398" s="7">
        <v>-1608.6</v>
      </c>
      <c r="H398" s="7">
        <f t="shared" si="233"/>
        <v>3000.0000000000005</v>
      </c>
      <c r="I398" s="1"/>
      <c r="J398" s="1">
        <f t="shared" si="234"/>
        <v>3000.0000000000005</v>
      </c>
      <c r="K398" s="1"/>
      <c r="L398" s="1">
        <f t="shared" si="235"/>
        <v>3000.0000000000005</v>
      </c>
      <c r="N398" s="1">
        <f t="shared" si="236"/>
        <v>3000.0000000000005</v>
      </c>
      <c r="O398" s="1"/>
      <c r="Q398" s="1">
        <f t="shared" si="237"/>
        <v>3000.0000000000005</v>
      </c>
      <c r="T398" s="1">
        <f t="shared" si="227"/>
        <v>3000.0000000000005</v>
      </c>
      <c r="U398" s="1">
        <f t="shared" si="228"/>
        <v>3000.0000000000005</v>
      </c>
      <c r="V398" s="1">
        <f t="shared" si="229"/>
        <v>0</v>
      </c>
      <c r="W398" s="1">
        <f t="shared" si="226"/>
        <v>3000.0000000000005</v>
      </c>
      <c r="X398" s="1">
        <v>3000</v>
      </c>
      <c r="Y398" s="41">
        <f t="shared" si="216"/>
        <v>0</v>
      </c>
      <c r="Z398" s="1">
        <f t="shared" si="217"/>
        <v>3000.0000000000005</v>
      </c>
      <c r="AA398" s="1">
        <v>3000</v>
      </c>
      <c r="AB398" s="1">
        <f t="shared" si="218"/>
        <v>0</v>
      </c>
      <c r="AC398" s="1">
        <f t="shared" si="219"/>
        <v>3000.0000000000005</v>
      </c>
      <c r="AD398" s="41">
        <v>3000</v>
      </c>
      <c r="AE398" s="1">
        <f t="shared" si="230"/>
        <v>0</v>
      </c>
      <c r="AF398" s="1">
        <f t="shared" si="231"/>
        <v>3000.0000000000005</v>
      </c>
    </row>
    <row r="399" spans="1:32">
      <c r="A399" s="13">
        <v>16500</v>
      </c>
      <c r="B399" s="11">
        <v>21300</v>
      </c>
      <c r="C399" s="11" t="s">
        <v>380</v>
      </c>
      <c r="D399" s="7">
        <v>50000</v>
      </c>
      <c r="E399" s="7"/>
      <c r="F399" s="7">
        <f t="shared" si="232"/>
        <v>50000</v>
      </c>
      <c r="G399" s="7">
        <v>-5000</v>
      </c>
      <c r="H399" s="7">
        <f t="shared" si="233"/>
        <v>45000</v>
      </c>
      <c r="I399" s="1"/>
      <c r="J399" s="1">
        <f t="shared" si="234"/>
        <v>45000</v>
      </c>
      <c r="K399" s="1"/>
      <c r="L399" s="1">
        <f t="shared" si="235"/>
        <v>45000</v>
      </c>
      <c r="N399" s="1">
        <f t="shared" si="236"/>
        <v>45000</v>
      </c>
      <c r="O399" s="1"/>
      <c r="Q399" s="1">
        <f t="shared" si="237"/>
        <v>45000</v>
      </c>
      <c r="R399" s="1">
        <v>0</v>
      </c>
      <c r="T399" s="1">
        <f t="shared" si="227"/>
        <v>45000</v>
      </c>
      <c r="U399" s="1">
        <f t="shared" si="228"/>
        <v>45000</v>
      </c>
      <c r="V399" s="1">
        <f t="shared" si="229"/>
        <v>0</v>
      </c>
      <c r="W399" s="1">
        <f t="shared" si="226"/>
        <v>45000</v>
      </c>
      <c r="X399" s="1">
        <v>45000</v>
      </c>
      <c r="Y399" s="41">
        <f t="shared" si="216"/>
        <v>0</v>
      </c>
      <c r="Z399" s="1">
        <f t="shared" si="217"/>
        <v>45000</v>
      </c>
      <c r="AA399" s="1">
        <v>45000</v>
      </c>
      <c r="AB399" s="1">
        <f t="shared" si="218"/>
        <v>0</v>
      </c>
      <c r="AC399" s="1">
        <f t="shared" si="219"/>
        <v>45000</v>
      </c>
      <c r="AD399" s="41">
        <v>45000</v>
      </c>
      <c r="AE399" s="1">
        <f t="shared" si="230"/>
        <v>0</v>
      </c>
      <c r="AF399" s="1">
        <f t="shared" si="231"/>
        <v>45000</v>
      </c>
    </row>
    <row r="400" spans="1:32">
      <c r="A400" s="13">
        <v>17000</v>
      </c>
      <c r="B400" s="11">
        <v>21300</v>
      </c>
      <c r="C400" s="11" t="s">
        <v>380</v>
      </c>
      <c r="D400" s="7">
        <v>1500</v>
      </c>
      <c r="E400" s="7"/>
      <c r="F400" s="7">
        <f t="shared" si="232"/>
        <v>1500</v>
      </c>
      <c r="G400" s="7"/>
      <c r="H400" s="7">
        <f t="shared" si="233"/>
        <v>1500</v>
      </c>
      <c r="I400" s="1"/>
      <c r="J400" s="1">
        <f t="shared" si="234"/>
        <v>1500</v>
      </c>
      <c r="K400" s="1"/>
      <c r="L400" s="1">
        <f t="shared" si="235"/>
        <v>1500</v>
      </c>
      <c r="N400" s="1">
        <f t="shared" si="236"/>
        <v>1500</v>
      </c>
      <c r="O400" s="1"/>
      <c r="Q400" s="1">
        <f t="shared" si="237"/>
        <v>1500</v>
      </c>
      <c r="S400" s="1">
        <v>18500</v>
      </c>
      <c r="T400" s="1">
        <f t="shared" si="227"/>
        <v>20000</v>
      </c>
      <c r="U400" s="1">
        <v>29000</v>
      </c>
      <c r="V400" s="1">
        <v>9000</v>
      </c>
      <c r="W400" s="1">
        <f t="shared" si="226"/>
        <v>29000</v>
      </c>
      <c r="X400" s="1">
        <v>29000</v>
      </c>
      <c r="Y400" s="41">
        <f t="shared" si="216"/>
        <v>0</v>
      </c>
      <c r="Z400" s="1">
        <f t="shared" si="217"/>
        <v>29000</v>
      </c>
      <c r="AA400" s="1">
        <v>10000</v>
      </c>
      <c r="AB400" s="1">
        <f t="shared" si="218"/>
        <v>-19000</v>
      </c>
      <c r="AC400" s="1">
        <f t="shared" si="219"/>
        <v>10000</v>
      </c>
      <c r="AD400" s="41">
        <v>0</v>
      </c>
      <c r="AE400" s="1">
        <f t="shared" si="230"/>
        <v>-10000</v>
      </c>
      <c r="AF400" s="1">
        <f t="shared" si="231"/>
        <v>0</v>
      </c>
    </row>
    <row r="401" spans="1:32">
      <c r="A401" s="13">
        <v>17100</v>
      </c>
      <c r="B401" s="11">
        <v>21300</v>
      </c>
      <c r="C401" s="11" t="s">
        <v>397</v>
      </c>
      <c r="D401" s="7">
        <v>6400</v>
      </c>
      <c r="E401" s="7"/>
      <c r="F401" s="7">
        <f t="shared" si="232"/>
        <v>6400</v>
      </c>
      <c r="G401" s="7">
        <v>-1400</v>
      </c>
      <c r="H401" s="7">
        <f t="shared" si="233"/>
        <v>5000</v>
      </c>
      <c r="I401" s="1"/>
      <c r="J401" s="1">
        <f t="shared" si="234"/>
        <v>5000</v>
      </c>
      <c r="K401" s="1"/>
      <c r="L401" s="1">
        <f t="shared" si="235"/>
        <v>5000</v>
      </c>
      <c r="N401" s="1">
        <f t="shared" si="236"/>
        <v>5000</v>
      </c>
      <c r="O401" s="1"/>
      <c r="Q401" s="1">
        <f t="shared" si="237"/>
        <v>5000</v>
      </c>
      <c r="T401" s="1">
        <f t="shared" si="227"/>
        <v>5000</v>
      </c>
      <c r="U401" s="1">
        <f>R401+T401</f>
        <v>5000</v>
      </c>
      <c r="V401" s="1">
        <f>U401-T401</f>
        <v>0</v>
      </c>
      <c r="W401" s="1">
        <f t="shared" si="226"/>
        <v>5000</v>
      </c>
      <c r="X401" s="1">
        <v>7000</v>
      </c>
      <c r="Y401" s="41">
        <f t="shared" si="216"/>
        <v>2000</v>
      </c>
      <c r="Z401" s="1">
        <f t="shared" si="217"/>
        <v>7000</v>
      </c>
      <c r="AA401" s="1">
        <v>7000</v>
      </c>
      <c r="AB401" s="1">
        <f t="shared" si="218"/>
        <v>0</v>
      </c>
      <c r="AC401" s="1">
        <f t="shared" si="219"/>
        <v>7000</v>
      </c>
      <c r="AD401" s="41">
        <v>5000</v>
      </c>
      <c r="AE401" s="1">
        <f t="shared" si="230"/>
        <v>-2000</v>
      </c>
      <c r="AF401" s="1">
        <f t="shared" si="231"/>
        <v>5000</v>
      </c>
    </row>
    <row r="402" spans="1:32">
      <c r="A402" s="13">
        <v>23110</v>
      </c>
      <c r="B402" s="11">
        <v>21300</v>
      </c>
      <c r="C402" s="11" t="s">
        <v>321</v>
      </c>
      <c r="D402" s="8"/>
      <c r="E402" s="8"/>
      <c r="F402" s="8"/>
      <c r="G402" s="8"/>
      <c r="H402" s="8"/>
      <c r="I402" s="8"/>
      <c r="J402" s="8"/>
      <c r="K402" s="8"/>
      <c r="L402" s="10">
        <v>601.01</v>
      </c>
      <c r="M402" s="10">
        <v>0</v>
      </c>
      <c r="N402" s="7">
        <f t="shared" si="236"/>
        <v>601.01</v>
      </c>
      <c r="O402" s="7"/>
      <c r="P402" s="3"/>
      <c r="Q402" s="1">
        <f t="shared" si="237"/>
        <v>601.01</v>
      </c>
      <c r="R402" s="3"/>
      <c r="S402" s="3"/>
      <c r="T402" s="1">
        <f t="shared" si="227"/>
        <v>601.01</v>
      </c>
      <c r="U402" s="41">
        <v>1000</v>
      </c>
      <c r="V402" s="1">
        <f>U402-T402</f>
        <v>398.99</v>
      </c>
      <c r="W402" s="1">
        <f t="shared" si="226"/>
        <v>1000</v>
      </c>
      <c r="X402" s="41">
        <v>1500</v>
      </c>
      <c r="Y402" s="41">
        <f t="shared" si="216"/>
        <v>500</v>
      </c>
      <c r="Z402" s="1">
        <f t="shared" si="217"/>
        <v>1500</v>
      </c>
      <c r="AA402" s="41">
        <v>1500</v>
      </c>
      <c r="AB402" s="41">
        <f t="shared" si="218"/>
        <v>0</v>
      </c>
      <c r="AC402" s="1">
        <f t="shared" si="219"/>
        <v>1500</v>
      </c>
      <c r="AD402" s="41">
        <v>1500</v>
      </c>
      <c r="AE402" s="1">
        <f t="shared" si="230"/>
        <v>0</v>
      </c>
      <c r="AF402" s="1">
        <f t="shared" si="231"/>
        <v>1500</v>
      </c>
    </row>
    <row r="403" spans="1:32">
      <c r="A403" s="11">
        <v>23112</v>
      </c>
      <c r="B403" s="11">
        <v>21300</v>
      </c>
      <c r="C403" s="39" t="s">
        <v>321</v>
      </c>
      <c r="D403" s="7"/>
      <c r="E403" s="7"/>
      <c r="F403" s="7"/>
      <c r="G403" s="7"/>
      <c r="H403" s="10"/>
      <c r="I403" s="16"/>
      <c r="J403" s="16"/>
      <c r="K403" s="16"/>
      <c r="L403" s="1"/>
      <c r="N403" s="1"/>
      <c r="O403" s="1"/>
      <c r="T403" s="1"/>
      <c r="V403" s="1"/>
      <c r="W403" s="1"/>
      <c r="Y403" s="41"/>
      <c r="Z403" s="1"/>
      <c r="AB403" s="1"/>
      <c r="AC403" s="1">
        <v>0</v>
      </c>
      <c r="AD403" s="41">
        <v>2000</v>
      </c>
      <c r="AE403" s="1">
        <f t="shared" si="230"/>
        <v>2000</v>
      </c>
      <c r="AF403" s="1">
        <f t="shared" si="231"/>
        <v>2000</v>
      </c>
    </row>
    <row r="404" spans="1:32">
      <c r="A404" s="42">
        <v>23113</v>
      </c>
      <c r="B404" s="11">
        <v>21300</v>
      </c>
      <c r="C404" s="11" t="s">
        <v>346</v>
      </c>
      <c r="D404" s="7">
        <v>9000</v>
      </c>
      <c r="E404" s="7">
        <v>0</v>
      </c>
      <c r="F404" s="7">
        <f t="shared" ref="F404:F417" si="238">D404-E404</f>
        <v>9000</v>
      </c>
      <c r="G404" s="7">
        <v>0</v>
      </c>
      <c r="H404" s="7">
        <f t="shared" ref="H404:H417" si="239">D404+G404</f>
        <v>9000</v>
      </c>
      <c r="I404" s="7"/>
      <c r="J404" s="7">
        <f t="shared" ref="J404:J417" si="240">H404-I404</f>
        <v>9000</v>
      </c>
      <c r="K404" s="7"/>
      <c r="L404" s="7">
        <v>9000</v>
      </c>
      <c r="M404" s="7">
        <v>-4000</v>
      </c>
      <c r="N404" s="7">
        <f t="shared" ref="N404:N417" si="241">L404+M404</f>
        <v>5000</v>
      </c>
      <c r="O404" s="7"/>
      <c r="P404" s="3"/>
      <c r="Q404" s="1">
        <f t="shared" ref="Q404:Q417" si="242">N404+P404</f>
        <v>5000</v>
      </c>
      <c r="R404" s="3"/>
      <c r="S404" s="3"/>
      <c r="T404" s="1">
        <f t="shared" ref="T404:T415" si="243">Q404+S404</f>
        <v>5000</v>
      </c>
      <c r="U404" s="1">
        <f t="shared" ref="U404:U415" si="244">R404+T404</f>
        <v>5000</v>
      </c>
      <c r="V404" s="1">
        <f t="shared" ref="V404:V417" si="245">U404-T404</f>
        <v>0</v>
      </c>
      <c r="W404" s="1">
        <f t="shared" ref="W404:W417" si="246">T404+V404</f>
        <v>5000</v>
      </c>
      <c r="X404" s="41">
        <v>10000</v>
      </c>
      <c r="Y404" s="41">
        <f t="shared" ref="Y404:Y417" si="247">X404-W404</f>
        <v>5000</v>
      </c>
      <c r="Z404" s="1">
        <f t="shared" ref="Z404:Z417" si="248">W404+Y404</f>
        <v>10000</v>
      </c>
      <c r="AA404" s="41">
        <v>13000</v>
      </c>
      <c r="AB404" s="41">
        <f t="shared" ref="AB404:AB417" si="249">AA404-Z404</f>
        <v>3000</v>
      </c>
      <c r="AC404" s="1">
        <f t="shared" ref="AC404:AC417" si="250">Z404+AB404</f>
        <v>13000</v>
      </c>
      <c r="AD404" s="41">
        <v>15000</v>
      </c>
      <c r="AE404" s="1">
        <f t="shared" si="230"/>
        <v>2000</v>
      </c>
      <c r="AF404" s="1">
        <f t="shared" si="231"/>
        <v>15000</v>
      </c>
    </row>
    <row r="405" spans="1:32">
      <c r="A405" s="11">
        <v>32000</v>
      </c>
      <c r="B405" s="11">
        <v>21300</v>
      </c>
      <c r="C405" s="11" t="s">
        <v>364</v>
      </c>
      <c r="D405" s="7">
        <v>20000</v>
      </c>
      <c r="E405" s="7"/>
      <c r="F405" s="7">
        <f t="shared" si="238"/>
        <v>20000</v>
      </c>
      <c r="G405" s="7">
        <v>-2000</v>
      </c>
      <c r="H405" s="7">
        <f t="shared" si="239"/>
        <v>18000</v>
      </c>
      <c r="I405" s="1"/>
      <c r="J405" s="1">
        <f t="shared" si="240"/>
        <v>18000</v>
      </c>
      <c r="K405" s="1"/>
      <c r="L405" s="1">
        <f>H405+K405</f>
        <v>18000</v>
      </c>
      <c r="M405" s="7">
        <v>-5000</v>
      </c>
      <c r="N405" s="1">
        <f t="shared" si="241"/>
        <v>13000</v>
      </c>
      <c r="O405" s="1"/>
      <c r="P405" s="3"/>
      <c r="Q405" s="1">
        <f t="shared" si="242"/>
        <v>13000</v>
      </c>
      <c r="R405" s="3"/>
      <c r="S405" s="3"/>
      <c r="T405" s="1">
        <f t="shared" si="243"/>
        <v>13000</v>
      </c>
      <c r="U405" s="1">
        <f t="shared" si="244"/>
        <v>13000</v>
      </c>
      <c r="V405" s="1">
        <f t="shared" si="245"/>
        <v>0</v>
      </c>
      <c r="W405" s="1">
        <f t="shared" si="246"/>
        <v>13000</v>
      </c>
      <c r="X405" s="41">
        <v>13000</v>
      </c>
      <c r="Y405" s="41">
        <f t="shared" si="247"/>
        <v>0</v>
      </c>
      <c r="Z405" s="1">
        <f t="shared" si="248"/>
        <v>13000</v>
      </c>
      <c r="AA405" s="41">
        <v>13000</v>
      </c>
      <c r="AB405" s="41">
        <f t="shared" si="249"/>
        <v>0</v>
      </c>
      <c r="AC405" s="1">
        <f t="shared" si="250"/>
        <v>13000</v>
      </c>
      <c r="AD405" s="41">
        <v>10000</v>
      </c>
      <c r="AE405" s="1">
        <f t="shared" si="230"/>
        <v>-3000</v>
      </c>
      <c r="AF405" s="1">
        <f t="shared" si="231"/>
        <v>10000</v>
      </c>
    </row>
    <row r="406" spans="1:32">
      <c r="A406" s="11">
        <v>33220</v>
      </c>
      <c r="B406" s="11">
        <v>21300</v>
      </c>
      <c r="C406" s="11" t="s">
        <v>469</v>
      </c>
      <c r="D406" s="7">
        <v>2240</v>
      </c>
      <c r="E406" s="7"/>
      <c r="F406" s="7">
        <f t="shared" si="238"/>
        <v>2240</v>
      </c>
      <c r="G406" s="7">
        <v>-240</v>
      </c>
      <c r="H406" s="7">
        <f t="shared" si="239"/>
        <v>2000</v>
      </c>
      <c r="I406" s="1"/>
      <c r="J406" s="1">
        <f t="shared" si="240"/>
        <v>2000</v>
      </c>
      <c r="K406" s="1"/>
      <c r="L406" s="1">
        <f>H406+K406</f>
        <v>2000</v>
      </c>
      <c r="N406" s="1">
        <f t="shared" si="241"/>
        <v>2000</v>
      </c>
      <c r="O406" s="1"/>
      <c r="P406" s="3"/>
      <c r="Q406" s="1">
        <f t="shared" si="242"/>
        <v>2000</v>
      </c>
      <c r="R406" s="3"/>
      <c r="S406" s="3"/>
      <c r="T406" s="1">
        <f t="shared" si="243"/>
        <v>2000</v>
      </c>
      <c r="U406" s="1">
        <f t="shared" si="244"/>
        <v>2000</v>
      </c>
      <c r="V406" s="1">
        <f t="shared" si="245"/>
        <v>0</v>
      </c>
      <c r="W406" s="1">
        <f t="shared" si="246"/>
        <v>2000</v>
      </c>
      <c r="X406" s="41">
        <v>2000</v>
      </c>
      <c r="Y406" s="41">
        <f t="shared" si="247"/>
        <v>0</v>
      </c>
      <c r="Z406" s="1">
        <f t="shared" si="248"/>
        <v>2000</v>
      </c>
      <c r="AA406" s="41">
        <v>2000</v>
      </c>
      <c r="AB406" s="41">
        <f t="shared" si="249"/>
        <v>0</v>
      </c>
      <c r="AC406" s="1">
        <f t="shared" si="250"/>
        <v>2000</v>
      </c>
      <c r="AD406" s="41">
        <v>2000</v>
      </c>
      <c r="AE406" s="1">
        <f t="shared" si="230"/>
        <v>0</v>
      </c>
      <c r="AF406" s="1">
        <f t="shared" si="231"/>
        <v>2000</v>
      </c>
    </row>
    <row r="407" spans="1:32">
      <c r="A407" s="11">
        <v>33400</v>
      </c>
      <c r="B407" s="11">
        <v>21300</v>
      </c>
      <c r="C407" s="11" t="s">
        <v>421</v>
      </c>
      <c r="D407" s="7">
        <v>4000</v>
      </c>
      <c r="E407" s="7"/>
      <c r="F407" s="7">
        <f t="shared" si="238"/>
        <v>4000</v>
      </c>
      <c r="G407" s="7"/>
      <c r="H407" s="7">
        <f t="shared" si="239"/>
        <v>4000</v>
      </c>
      <c r="I407" s="1"/>
      <c r="J407" s="1">
        <f t="shared" si="240"/>
        <v>4000</v>
      </c>
      <c r="K407" s="1"/>
      <c r="L407" s="1">
        <f>H407+K407</f>
        <v>4000</v>
      </c>
      <c r="N407" s="1">
        <f t="shared" si="241"/>
        <v>4000</v>
      </c>
      <c r="O407" s="1"/>
      <c r="Q407" s="1">
        <f t="shared" si="242"/>
        <v>4000</v>
      </c>
      <c r="T407" s="1">
        <f t="shared" si="243"/>
        <v>4000</v>
      </c>
      <c r="U407" s="1">
        <f t="shared" si="244"/>
        <v>4000</v>
      </c>
      <c r="V407" s="1">
        <f t="shared" si="245"/>
        <v>0</v>
      </c>
      <c r="W407" s="1">
        <f t="shared" si="246"/>
        <v>4000</v>
      </c>
      <c r="X407" s="1">
        <v>3000</v>
      </c>
      <c r="Y407" s="41">
        <f t="shared" si="247"/>
        <v>-1000</v>
      </c>
      <c r="Z407" s="1">
        <f t="shared" si="248"/>
        <v>3000</v>
      </c>
      <c r="AA407" s="1">
        <v>20000</v>
      </c>
      <c r="AB407" s="1">
        <f t="shared" si="249"/>
        <v>17000</v>
      </c>
      <c r="AC407" s="1">
        <f t="shared" si="250"/>
        <v>20000</v>
      </c>
      <c r="AD407" s="41">
        <v>10000</v>
      </c>
      <c r="AE407" s="1">
        <f t="shared" si="230"/>
        <v>-10000</v>
      </c>
      <c r="AF407" s="1">
        <f t="shared" si="231"/>
        <v>10000</v>
      </c>
    </row>
    <row r="408" spans="1:32">
      <c r="A408" s="11">
        <v>33600</v>
      </c>
      <c r="B408" s="11">
        <v>21300</v>
      </c>
      <c r="C408" s="11" t="s">
        <v>462</v>
      </c>
      <c r="D408" s="7">
        <v>2404.0500000000002</v>
      </c>
      <c r="E408" s="7"/>
      <c r="F408" s="7">
        <f t="shared" si="238"/>
        <v>2404.0500000000002</v>
      </c>
      <c r="G408" s="7">
        <v>-404.05</v>
      </c>
      <c r="H408" s="7">
        <f t="shared" si="239"/>
        <v>2000.0000000000002</v>
      </c>
      <c r="I408" s="1"/>
      <c r="J408" s="1">
        <f t="shared" si="240"/>
        <v>2000.0000000000002</v>
      </c>
      <c r="K408" s="1"/>
      <c r="L408" s="1">
        <f>H408+K408</f>
        <v>2000.0000000000002</v>
      </c>
      <c r="N408" s="1">
        <f t="shared" si="241"/>
        <v>2000.0000000000002</v>
      </c>
      <c r="O408" s="1"/>
      <c r="Q408" s="1">
        <f t="shared" si="242"/>
        <v>2000.0000000000002</v>
      </c>
      <c r="T408" s="1">
        <f t="shared" si="243"/>
        <v>2000.0000000000002</v>
      </c>
      <c r="U408" s="1">
        <f t="shared" si="244"/>
        <v>2000.0000000000002</v>
      </c>
      <c r="V408" s="1">
        <f t="shared" si="245"/>
        <v>0</v>
      </c>
      <c r="W408" s="1">
        <f t="shared" si="246"/>
        <v>2000.0000000000002</v>
      </c>
      <c r="X408" s="1">
        <v>2000</v>
      </c>
      <c r="Y408" s="41">
        <f t="shared" si="247"/>
        <v>0</v>
      </c>
      <c r="Z408" s="1">
        <f t="shared" si="248"/>
        <v>2000.0000000000002</v>
      </c>
      <c r="AA408" s="1">
        <v>2000</v>
      </c>
      <c r="AB408" s="1">
        <f t="shared" si="249"/>
        <v>0</v>
      </c>
      <c r="AC408" s="1">
        <f t="shared" si="250"/>
        <v>2000.0000000000002</v>
      </c>
      <c r="AD408" s="41">
        <v>2000</v>
      </c>
      <c r="AE408" s="1">
        <f t="shared" si="230"/>
        <v>0</v>
      </c>
      <c r="AF408" s="1">
        <f t="shared" si="231"/>
        <v>2000.0000000000002</v>
      </c>
    </row>
    <row r="409" spans="1:32">
      <c r="A409" s="11">
        <v>33700</v>
      </c>
      <c r="B409" s="11">
        <v>21300</v>
      </c>
      <c r="C409" s="11" t="s">
        <v>380</v>
      </c>
      <c r="D409" s="7">
        <v>3500</v>
      </c>
      <c r="E409" s="7"/>
      <c r="F409" s="7">
        <f t="shared" si="238"/>
        <v>3500</v>
      </c>
      <c r="G409" s="7"/>
      <c r="H409" s="7">
        <f t="shared" si="239"/>
        <v>3500</v>
      </c>
      <c r="I409" s="1"/>
      <c r="J409" s="1">
        <f t="shared" si="240"/>
        <v>3500</v>
      </c>
      <c r="K409" s="1"/>
      <c r="L409" s="1">
        <f>H409+K409</f>
        <v>3500</v>
      </c>
      <c r="N409" s="1">
        <f t="shared" si="241"/>
        <v>3500</v>
      </c>
      <c r="O409" s="1"/>
      <c r="Q409" s="1">
        <f t="shared" si="242"/>
        <v>3500</v>
      </c>
      <c r="T409" s="1">
        <f t="shared" si="243"/>
        <v>3500</v>
      </c>
      <c r="U409" s="1">
        <f t="shared" si="244"/>
        <v>3500</v>
      </c>
      <c r="V409" s="1">
        <f t="shared" si="245"/>
        <v>0</v>
      </c>
      <c r="W409" s="1">
        <f t="shared" si="246"/>
        <v>3500</v>
      </c>
      <c r="X409" s="1">
        <v>3000</v>
      </c>
      <c r="Y409" s="41">
        <f t="shared" si="247"/>
        <v>-500</v>
      </c>
      <c r="Z409" s="1">
        <f t="shared" si="248"/>
        <v>3000</v>
      </c>
      <c r="AA409" s="1">
        <v>4000</v>
      </c>
      <c r="AB409" s="1">
        <f t="shared" si="249"/>
        <v>1000</v>
      </c>
      <c r="AC409" s="1">
        <f t="shared" si="250"/>
        <v>4000</v>
      </c>
      <c r="AD409" s="41">
        <v>5000</v>
      </c>
      <c r="AE409" s="1">
        <f t="shared" si="230"/>
        <v>1000</v>
      </c>
      <c r="AF409" s="1">
        <f t="shared" si="231"/>
        <v>5000</v>
      </c>
    </row>
    <row r="410" spans="1:32">
      <c r="A410" s="11">
        <v>33710</v>
      </c>
      <c r="B410" s="11">
        <v>21300</v>
      </c>
      <c r="C410" s="11" t="s">
        <v>380</v>
      </c>
      <c r="D410" s="7">
        <v>20000</v>
      </c>
      <c r="E410" s="7"/>
      <c r="F410" s="7">
        <f t="shared" si="238"/>
        <v>20000</v>
      </c>
      <c r="G410" s="7">
        <v>-5000</v>
      </c>
      <c r="H410" s="7">
        <f t="shared" si="239"/>
        <v>15000</v>
      </c>
      <c r="I410" s="7"/>
      <c r="J410" s="7">
        <f t="shared" si="240"/>
        <v>15000</v>
      </c>
      <c r="K410" s="7"/>
      <c r="L410" s="7">
        <v>15000</v>
      </c>
      <c r="M410" s="7">
        <v>0</v>
      </c>
      <c r="N410" s="7">
        <f t="shared" si="241"/>
        <v>15000</v>
      </c>
      <c r="O410" s="7"/>
      <c r="Q410" s="1">
        <f t="shared" si="242"/>
        <v>15000</v>
      </c>
      <c r="T410" s="1">
        <f t="shared" si="243"/>
        <v>15000</v>
      </c>
      <c r="U410" s="1">
        <f t="shared" si="244"/>
        <v>15000</v>
      </c>
      <c r="V410" s="1">
        <f t="shared" si="245"/>
        <v>0</v>
      </c>
      <c r="W410" s="1">
        <f t="shared" si="246"/>
        <v>15000</v>
      </c>
      <c r="X410" s="1">
        <v>15000</v>
      </c>
      <c r="Y410" s="41">
        <f t="shared" si="247"/>
        <v>0</v>
      </c>
      <c r="Z410" s="1">
        <f t="shared" si="248"/>
        <v>15000</v>
      </c>
      <c r="AA410" s="1">
        <f>X410+Z410</f>
        <v>30000</v>
      </c>
      <c r="AB410" s="1">
        <f t="shared" si="249"/>
        <v>15000</v>
      </c>
      <c r="AC410" s="1">
        <f t="shared" si="250"/>
        <v>30000</v>
      </c>
      <c r="AD410" s="41">
        <f>30000-2305</f>
        <v>27695</v>
      </c>
      <c r="AE410" s="1">
        <f t="shared" si="230"/>
        <v>-2305</v>
      </c>
      <c r="AF410" s="1">
        <f t="shared" si="231"/>
        <v>27695</v>
      </c>
    </row>
    <row r="411" spans="1:32">
      <c r="A411" s="11">
        <v>34000</v>
      </c>
      <c r="B411" s="11">
        <v>21300</v>
      </c>
      <c r="C411" s="11" t="s">
        <v>441</v>
      </c>
      <c r="D411" s="7">
        <v>20950</v>
      </c>
      <c r="E411" s="7"/>
      <c r="F411" s="7">
        <f t="shared" si="238"/>
        <v>20950</v>
      </c>
      <c r="G411" s="7">
        <v>-7950</v>
      </c>
      <c r="H411" s="7">
        <f t="shared" si="239"/>
        <v>13000</v>
      </c>
      <c r="I411" s="1"/>
      <c r="J411" s="1">
        <f t="shared" si="240"/>
        <v>13000</v>
      </c>
      <c r="K411" s="1"/>
      <c r="L411" s="1">
        <f>H411+K411</f>
        <v>13000</v>
      </c>
      <c r="N411" s="1">
        <f t="shared" si="241"/>
        <v>13000</v>
      </c>
      <c r="O411" s="1"/>
      <c r="Q411" s="1">
        <f t="shared" si="242"/>
        <v>13000</v>
      </c>
      <c r="T411" s="1">
        <f t="shared" si="243"/>
        <v>13000</v>
      </c>
      <c r="U411" s="1">
        <f t="shared" si="244"/>
        <v>13000</v>
      </c>
      <c r="V411" s="1">
        <f t="shared" si="245"/>
        <v>0</v>
      </c>
      <c r="W411" s="1">
        <f t="shared" si="246"/>
        <v>13000</v>
      </c>
      <c r="X411" s="1">
        <v>13000</v>
      </c>
      <c r="Y411" s="41">
        <f t="shared" si="247"/>
        <v>0</v>
      </c>
      <c r="Z411" s="1">
        <f t="shared" si="248"/>
        <v>13000</v>
      </c>
      <c r="AA411" s="1">
        <v>20000</v>
      </c>
      <c r="AB411" s="1">
        <f t="shared" si="249"/>
        <v>7000</v>
      </c>
      <c r="AC411" s="1">
        <f t="shared" si="250"/>
        <v>20000</v>
      </c>
      <c r="AD411" s="41">
        <v>15000</v>
      </c>
      <c r="AE411" s="1">
        <f t="shared" si="230"/>
        <v>-5000</v>
      </c>
      <c r="AF411" s="1">
        <f t="shared" si="231"/>
        <v>15000</v>
      </c>
    </row>
    <row r="412" spans="1:32">
      <c r="A412" s="11">
        <v>43120</v>
      </c>
      <c r="B412" s="11">
        <v>21300</v>
      </c>
      <c r="C412" s="11" t="s">
        <v>505</v>
      </c>
      <c r="D412" s="7">
        <v>1100</v>
      </c>
      <c r="E412" s="8"/>
      <c r="F412" s="7">
        <f t="shared" si="238"/>
        <v>1100</v>
      </c>
      <c r="G412" s="10"/>
      <c r="H412" s="7">
        <f t="shared" si="239"/>
        <v>1100</v>
      </c>
      <c r="I412" s="8"/>
      <c r="J412" s="7">
        <f t="shared" si="240"/>
        <v>1100</v>
      </c>
      <c r="K412" s="8"/>
      <c r="L412" s="7">
        <v>1100</v>
      </c>
      <c r="M412" s="10">
        <v>0</v>
      </c>
      <c r="N412" s="7">
        <f t="shared" si="241"/>
        <v>1100</v>
      </c>
      <c r="O412" s="7"/>
      <c r="Q412" s="1">
        <f t="shared" si="242"/>
        <v>1100</v>
      </c>
      <c r="T412" s="1">
        <f t="shared" si="243"/>
        <v>1100</v>
      </c>
      <c r="U412" s="1">
        <f t="shared" si="244"/>
        <v>1100</v>
      </c>
      <c r="V412" s="1">
        <f t="shared" si="245"/>
        <v>0</v>
      </c>
      <c r="W412" s="1">
        <f t="shared" si="246"/>
        <v>1100</v>
      </c>
      <c r="X412" s="1">
        <v>1000</v>
      </c>
      <c r="Y412" s="41">
        <f t="shared" si="247"/>
        <v>-100</v>
      </c>
      <c r="Z412" s="1">
        <f t="shared" si="248"/>
        <v>1000</v>
      </c>
      <c r="AA412" s="1">
        <v>1000</v>
      </c>
      <c r="AB412" s="41">
        <f t="shared" si="249"/>
        <v>0</v>
      </c>
      <c r="AC412" s="1">
        <f t="shared" si="250"/>
        <v>1000</v>
      </c>
      <c r="AD412" s="41">
        <v>10000</v>
      </c>
      <c r="AE412" s="1">
        <f t="shared" si="230"/>
        <v>9000</v>
      </c>
      <c r="AF412" s="1">
        <f t="shared" si="231"/>
        <v>10000</v>
      </c>
    </row>
    <row r="413" spans="1:32">
      <c r="A413" s="13">
        <v>43200</v>
      </c>
      <c r="B413" s="11">
        <v>21300</v>
      </c>
      <c r="C413" s="11" t="s">
        <v>515</v>
      </c>
      <c r="D413" s="7">
        <v>4904.26</v>
      </c>
      <c r="E413" s="7"/>
      <c r="F413" s="7">
        <f t="shared" si="238"/>
        <v>4904.26</v>
      </c>
      <c r="G413" s="7">
        <v>-1904.26</v>
      </c>
      <c r="H413" s="7">
        <f t="shared" si="239"/>
        <v>3000</v>
      </c>
      <c r="I413" s="1"/>
      <c r="J413" s="1">
        <f t="shared" si="240"/>
        <v>3000</v>
      </c>
      <c r="K413" s="1"/>
      <c r="L413" s="1">
        <f>H413+K413</f>
        <v>3000</v>
      </c>
      <c r="M413" s="7">
        <v>-1500</v>
      </c>
      <c r="N413" s="1">
        <f t="shared" si="241"/>
        <v>1500</v>
      </c>
      <c r="O413" s="1"/>
      <c r="Q413" s="1">
        <f t="shared" si="242"/>
        <v>1500</v>
      </c>
      <c r="T413" s="1">
        <f t="shared" si="243"/>
        <v>1500</v>
      </c>
      <c r="U413" s="1">
        <f t="shared" si="244"/>
        <v>1500</v>
      </c>
      <c r="V413" s="1">
        <f t="shared" si="245"/>
        <v>0</v>
      </c>
      <c r="W413" s="1">
        <f t="shared" si="246"/>
        <v>1500</v>
      </c>
      <c r="X413" s="1">
        <v>1500</v>
      </c>
      <c r="Y413" s="41">
        <f t="shared" si="247"/>
        <v>0</v>
      </c>
      <c r="Z413" s="1">
        <f t="shared" si="248"/>
        <v>1500</v>
      </c>
      <c r="AA413" s="1">
        <v>2000</v>
      </c>
      <c r="AB413" s="41">
        <f t="shared" si="249"/>
        <v>500</v>
      </c>
      <c r="AC413" s="1">
        <f t="shared" si="250"/>
        <v>2000</v>
      </c>
      <c r="AD413" s="41">
        <v>2000</v>
      </c>
      <c r="AE413" s="1">
        <f t="shared" si="230"/>
        <v>0</v>
      </c>
      <c r="AF413" s="1">
        <f t="shared" si="231"/>
        <v>2000</v>
      </c>
    </row>
    <row r="414" spans="1:32">
      <c r="A414" s="11">
        <v>45900</v>
      </c>
      <c r="B414" s="11">
        <v>21300</v>
      </c>
      <c r="C414" s="11" t="s">
        <v>169</v>
      </c>
      <c r="D414" s="7">
        <v>12020.24</v>
      </c>
      <c r="E414" s="7"/>
      <c r="F414" s="7">
        <f t="shared" si="238"/>
        <v>12020.24</v>
      </c>
      <c r="G414" s="7">
        <v>-2020.24</v>
      </c>
      <c r="H414" s="7">
        <f t="shared" si="239"/>
        <v>10000</v>
      </c>
      <c r="I414" s="1"/>
      <c r="J414" s="1">
        <f t="shared" si="240"/>
        <v>10000</v>
      </c>
      <c r="K414" s="1"/>
      <c r="L414" s="1">
        <f>H414+K414</f>
        <v>10000</v>
      </c>
      <c r="N414" s="1">
        <f t="shared" si="241"/>
        <v>10000</v>
      </c>
      <c r="O414" s="1"/>
      <c r="Q414" s="1">
        <f t="shared" si="242"/>
        <v>10000</v>
      </c>
      <c r="T414" s="1">
        <f t="shared" si="243"/>
        <v>10000</v>
      </c>
      <c r="U414" s="1">
        <f t="shared" si="244"/>
        <v>10000</v>
      </c>
      <c r="V414" s="1">
        <f t="shared" si="245"/>
        <v>0</v>
      </c>
      <c r="W414" s="1">
        <f t="shared" si="246"/>
        <v>10000</v>
      </c>
      <c r="X414" s="1">
        <v>30000</v>
      </c>
      <c r="Y414" s="41">
        <f t="shared" si="247"/>
        <v>20000</v>
      </c>
      <c r="Z414" s="1">
        <f t="shared" si="248"/>
        <v>30000</v>
      </c>
      <c r="AA414" s="1">
        <v>30000</v>
      </c>
      <c r="AB414" s="1">
        <f t="shared" si="249"/>
        <v>0</v>
      </c>
      <c r="AC414" s="1">
        <f t="shared" si="250"/>
        <v>30000</v>
      </c>
      <c r="AD414" s="41">
        <v>20000</v>
      </c>
      <c r="AE414" s="1">
        <f t="shared" si="230"/>
        <v>-10000</v>
      </c>
      <c r="AF414" s="1">
        <f t="shared" si="231"/>
        <v>20000</v>
      </c>
    </row>
    <row r="415" spans="1:32">
      <c r="A415" s="11">
        <v>49300</v>
      </c>
      <c r="B415" s="11">
        <v>21300</v>
      </c>
      <c r="C415" s="11" t="s">
        <v>380</v>
      </c>
      <c r="D415" s="7">
        <v>450.76</v>
      </c>
      <c r="E415" s="7"/>
      <c r="F415" s="7">
        <f t="shared" si="238"/>
        <v>450.76</v>
      </c>
      <c r="G415" s="7"/>
      <c r="H415" s="7">
        <f t="shared" si="239"/>
        <v>450.76</v>
      </c>
      <c r="I415" s="1"/>
      <c r="J415" s="1">
        <f t="shared" si="240"/>
        <v>450.76</v>
      </c>
      <c r="K415" s="1"/>
      <c r="L415" s="1">
        <f>H415+K415</f>
        <v>450.76</v>
      </c>
      <c r="N415" s="1">
        <f t="shared" si="241"/>
        <v>450.76</v>
      </c>
      <c r="O415" s="1"/>
      <c r="P415" s="3"/>
      <c r="Q415" s="1">
        <f t="shared" si="242"/>
        <v>450.76</v>
      </c>
      <c r="R415" s="3"/>
      <c r="S415" s="3"/>
      <c r="T415" s="1">
        <f t="shared" si="243"/>
        <v>450.76</v>
      </c>
      <c r="U415" s="1">
        <f t="shared" si="244"/>
        <v>450.76</v>
      </c>
      <c r="V415" s="1">
        <f t="shared" si="245"/>
        <v>0</v>
      </c>
      <c r="W415" s="1">
        <f t="shared" si="246"/>
        <v>450.76</v>
      </c>
      <c r="X415" s="41">
        <v>2000</v>
      </c>
      <c r="Y415" s="41">
        <f t="shared" si="247"/>
        <v>1549.24</v>
      </c>
      <c r="Z415" s="1">
        <f t="shared" si="248"/>
        <v>2000</v>
      </c>
      <c r="AA415" s="41">
        <v>2000</v>
      </c>
      <c r="AB415" s="1">
        <f t="shared" si="249"/>
        <v>0</v>
      </c>
      <c r="AC415" s="1">
        <f t="shared" si="250"/>
        <v>2000</v>
      </c>
      <c r="AD415" s="41">
        <v>1000</v>
      </c>
      <c r="AE415" s="1">
        <f t="shared" si="230"/>
        <v>-1000</v>
      </c>
      <c r="AF415" s="1">
        <f t="shared" si="231"/>
        <v>1000</v>
      </c>
    </row>
    <row r="416" spans="1:32">
      <c r="A416" s="11">
        <v>92000</v>
      </c>
      <c r="B416" s="11">
        <v>21300</v>
      </c>
      <c r="C416" s="11" t="s">
        <v>244</v>
      </c>
      <c r="D416" s="7">
        <v>7067.9</v>
      </c>
      <c r="E416" s="7"/>
      <c r="F416" s="7">
        <f t="shared" si="238"/>
        <v>7067.9</v>
      </c>
      <c r="G416" s="7"/>
      <c r="H416" s="7">
        <f t="shared" si="239"/>
        <v>7067.9</v>
      </c>
      <c r="I416" s="1"/>
      <c r="J416" s="1">
        <f t="shared" si="240"/>
        <v>7067.9</v>
      </c>
      <c r="K416" s="1"/>
      <c r="L416" s="1">
        <f>H416+K416</f>
        <v>7067.9</v>
      </c>
      <c r="M416" s="7">
        <v>28000</v>
      </c>
      <c r="N416" s="1">
        <f t="shared" si="241"/>
        <v>35067.9</v>
      </c>
      <c r="O416" s="1"/>
      <c r="P416" s="3"/>
      <c r="Q416" s="1">
        <f t="shared" si="242"/>
        <v>35067.9</v>
      </c>
      <c r="R416" s="3"/>
      <c r="S416" s="3"/>
      <c r="T416" s="1">
        <f>Q416+S416</f>
        <v>35067.9</v>
      </c>
      <c r="U416" s="41">
        <v>35000</v>
      </c>
      <c r="V416" s="1">
        <f t="shared" si="245"/>
        <v>-67.900000000001455</v>
      </c>
      <c r="W416" s="1">
        <f t="shared" si="246"/>
        <v>35000</v>
      </c>
      <c r="X416" s="41">
        <v>35000</v>
      </c>
      <c r="Y416" s="41">
        <f t="shared" si="247"/>
        <v>0</v>
      </c>
      <c r="Z416" s="1">
        <f t="shared" si="248"/>
        <v>35000</v>
      </c>
      <c r="AA416" s="41">
        <f>26620</f>
        <v>26620</v>
      </c>
      <c r="AB416" s="1">
        <f t="shared" si="249"/>
        <v>-8380</v>
      </c>
      <c r="AC416" s="1">
        <f t="shared" si="250"/>
        <v>26620</v>
      </c>
      <c r="AD416" s="41">
        <v>20000</v>
      </c>
      <c r="AE416" s="1">
        <f t="shared" si="230"/>
        <v>-6620</v>
      </c>
      <c r="AF416" s="1">
        <f t="shared" si="231"/>
        <v>20000</v>
      </c>
    </row>
    <row r="417" spans="1:32">
      <c r="A417" s="11">
        <v>92010</v>
      </c>
      <c r="B417" s="11">
        <v>21300</v>
      </c>
      <c r="C417" s="11" t="s">
        <v>279</v>
      </c>
      <c r="D417" s="7">
        <v>2500</v>
      </c>
      <c r="E417" s="7"/>
      <c r="F417" s="7">
        <f t="shared" si="238"/>
        <v>2500</v>
      </c>
      <c r="G417" s="7"/>
      <c r="H417" s="7">
        <f t="shared" si="239"/>
        <v>2500</v>
      </c>
      <c r="I417" s="7"/>
      <c r="J417" s="7">
        <f t="shared" si="240"/>
        <v>2500</v>
      </c>
      <c r="K417" s="7"/>
      <c r="L417" s="7">
        <v>2500</v>
      </c>
      <c r="M417" s="7">
        <v>0</v>
      </c>
      <c r="N417" s="7">
        <f t="shared" si="241"/>
        <v>2500</v>
      </c>
      <c r="O417" s="7"/>
      <c r="Q417" s="1">
        <f t="shared" si="242"/>
        <v>2500</v>
      </c>
      <c r="T417" s="1">
        <f>Q417+S417</f>
        <v>2500</v>
      </c>
      <c r="U417" s="1">
        <f>R417+T417</f>
        <v>2500</v>
      </c>
      <c r="V417" s="1">
        <f t="shared" si="245"/>
        <v>0</v>
      </c>
      <c r="W417" s="1">
        <f t="shared" si="246"/>
        <v>2500</v>
      </c>
      <c r="X417" s="1">
        <v>2500</v>
      </c>
      <c r="Y417" s="41">
        <f t="shared" si="247"/>
        <v>0</v>
      </c>
      <c r="Z417" s="1">
        <f t="shared" si="248"/>
        <v>2500</v>
      </c>
      <c r="AA417" s="1">
        <v>3300</v>
      </c>
      <c r="AB417" s="1">
        <f t="shared" si="249"/>
        <v>800</v>
      </c>
      <c r="AC417" s="1">
        <f t="shared" si="250"/>
        <v>3300</v>
      </c>
      <c r="AD417" s="41">
        <v>3000</v>
      </c>
      <c r="AE417" s="1">
        <f t="shared" si="230"/>
        <v>-300</v>
      </c>
      <c r="AF417" s="1">
        <f t="shared" si="231"/>
        <v>3000</v>
      </c>
    </row>
    <row r="418" spans="1:32">
      <c r="A418" s="11">
        <v>92400</v>
      </c>
      <c r="B418" s="11">
        <v>21300</v>
      </c>
      <c r="C418" s="48" t="s">
        <v>928</v>
      </c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1"/>
      <c r="W418" s="1"/>
      <c r="Y418" s="41"/>
      <c r="Z418" s="1"/>
      <c r="AB418" s="1"/>
      <c r="AC418" s="1">
        <v>0</v>
      </c>
      <c r="AD418" s="41">
        <v>500</v>
      </c>
      <c r="AE418" s="1">
        <f t="shared" si="230"/>
        <v>500</v>
      </c>
      <c r="AF418" s="1">
        <f t="shared" si="231"/>
        <v>500</v>
      </c>
    </row>
    <row r="419" spans="1:32">
      <c r="A419" s="11">
        <v>93100</v>
      </c>
      <c r="B419" s="11">
        <v>21300</v>
      </c>
      <c r="C419" s="11" t="s">
        <v>497</v>
      </c>
      <c r="D419" s="7">
        <v>1202.02</v>
      </c>
      <c r="E419" s="7"/>
      <c r="F419" s="7">
        <f>D419-E419</f>
        <v>1202.02</v>
      </c>
      <c r="G419" s="7">
        <v>-202.02</v>
      </c>
      <c r="H419" s="7">
        <f>D419+G419</f>
        <v>1000</v>
      </c>
      <c r="I419" s="1"/>
      <c r="J419" s="1">
        <f>H419-I419</f>
        <v>1000</v>
      </c>
      <c r="K419" s="1"/>
      <c r="L419" s="1">
        <f>H419+K419</f>
        <v>1000</v>
      </c>
      <c r="N419" s="1">
        <f>L419+M419</f>
        <v>1000</v>
      </c>
      <c r="O419" s="1"/>
      <c r="Q419" s="1">
        <f>N419+P419</f>
        <v>1000</v>
      </c>
      <c r="S419" s="1">
        <v>3000</v>
      </c>
      <c r="T419" s="1">
        <f>Q419+S419</f>
        <v>4000</v>
      </c>
      <c r="U419" s="1">
        <v>4000</v>
      </c>
      <c r="V419" s="1">
        <f>U419-T419</f>
        <v>0</v>
      </c>
      <c r="W419" s="1">
        <f>T419+V419</f>
        <v>4000</v>
      </c>
      <c r="X419" s="1">
        <v>4000</v>
      </c>
      <c r="Y419" s="41">
        <f t="shared" ref="Y419:Y450" si="251">X419-W419</f>
        <v>0</v>
      </c>
      <c r="Z419" s="1">
        <f t="shared" ref="Z419:Z450" si="252">W419+Y419</f>
        <v>4000</v>
      </c>
      <c r="AA419" s="1">
        <v>4000</v>
      </c>
      <c r="AB419" s="1">
        <f t="shared" ref="AB419:AB450" si="253">AA419-Z419</f>
        <v>0</v>
      </c>
      <c r="AC419" s="1">
        <f t="shared" ref="AC419:AC450" si="254">Z419+AB419</f>
        <v>4000</v>
      </c>
      <c r="AD419" s="41">
        <v>3000</v>
      </c>
      <c r="AE419" s="1">
        <f t="shared" si="230"/>
        <v>-1000</v>
      </c>
      <c r="AF419" s="1">
        <f t="shared" si="231"/>
        <v>3000</v>
      </c>
    </row>
    <row r="420" spans="1:32">
      <c r="A420" s="13">
        <v>17000</v>
      </c>
      <c r="B420" s="11">
        <v>21301</v>
      </c>
      <c r="C420" s="11" t="s">
        <v>418</v>
      </c>
      <c r="D420" s="7">
        <v>3000</v>
      </c>
      <c r="E420" s="7"/>
      <c r="F420" s="7">
        <f>D420-E420</f>
        <v>3000</v>
      </c>
      <c r="G420" s="7"/>
      <c r="H420" s="7">
        <f>D420+G420</f>
        <v>3000</v>
      </c>
      <c r="I420" s="1"/>
      <c r="J420" s="1">
        <f>H420-I420</f>
        <v>3000</v>
      </c>
      <c r="K420" s="1"/>
      <c r="L420" s="1">
        <f>H420+K420</f>
        <v>3000</v>
      </c>
      <c r="N420" s="1">
        <f>L420+M420</f>
        <v>3000</v>
      </c>
      <c r="O420" s="1"/>
      <c r="Q420" s="1">
        <f>N420+P420</f>
        <v>3000</v>
      </c>
      <c r="T420" s="1">
        <f>Q420+S420</f>
        <v>3000</v>
      </c>
      <c r="U420" s="1">
        <f>R420+T420</f>
        <v>3000</v>
      </c>
      <c r="V420" s="1">
        <f>U420-T420</f>
        <v>0</v>
      </c>
      <c r="W420" s="1">
        <f>T420+V420</f>
        <v>3000</v>
      </c>
      <c r="X420" s="1">
        <v>5000</v>
      </c>
      <c r="Y420" s="41">
        <f t="shared" si="251"/>
        <v>2000</v>
      </c>
      <c r="Z420" s="1">
        <f t="shared" si="252"/>
        <v>5000</v>
      </c>
      <c r="AA420" s="1">
        <v>5000</v>
      </c>
      <c r="AB420" s="1">
        <f t="shared" si="253"/>
        <v>0</v>
      </c>
      <c r="AC420" s="1">
        <f t="shared" si="254"/>
        <v>5000</v>
      </c>
      <c r="AD420" s="41">
        <v>0</v>
      </c>
      <c r="AE420" s="1">
        <f t="shared" si="230"/>
        <v>-5000</v>
      </c>
      <c r="AF420" s="1">
        <f t="shared" si="231"/>
        <v>0</v>
      </c>
    </row>
    <row r="421" spans="1:32">
      <c r="A421" s="11">
        <v>13200</v>
      </c>
      <c r="B421" s="11">
        <v>21400</v>
      </c>
      <c r="C421" s="11" t="s">
        <v>302</v>
      </c>
      <c r="D421" s="7">
        <v>21600</v>
      </c>
      <c r="E421" s="7">
        <v>20000</v>
      </c>
      <c r="F421" s="7">
        <f>D421-E421</f>
        <v>1600</v>
      </c>
      <c r="G421" s="7">
        <v>-1600</v>
      </c>
      <c r="H421" s="7">
        <f>D421+G421</f>
        <v>20000</v>
      </c>
      <c r="I421" s="1"/>
      <c r="J421" s="1">
        <f>H421-I421</f>
        <v>20000</v>
      </c>
      <c r="K421" s="1"/>
      <c r="L421" s="1">
        <f>H421+K421</f>
        <v>20000</v>
      </c>
      <c r="M421" s="7">
        <v>5000</v>
      </c>
      <c r="N421" s="1">
        <f>L421+M421</f>
        <v>25000</v>
      </c>
      <c r="O421" s="1"/>
      <c r="Q421" s="1">
        <f>N421+P421</f>
        <v>25000</v>
      </c>
      <c r="T421" s="1">
        <f>Q421+S421</f>
        <v>25000</v>
      </c>
      <c r="U421" s="1">
        <f>R421+T421</f>
        <v>25000</v>
      </c>
      <c r="V421" s="1">
        <f>U421-T421</f>
        <v>0</v>
      </c>
      <c r="W421" s="1">
        <f>T421+V421</f>
        <v>25000</v>
      </c>
      <c r="X421" s="1">
        <v>20000</v>
      </c>
      <c r="Y421" s="41">
        <f t="shared" si="251"/>
        <v>-5000</v>
      </c>
      <c r="Z421" s="1">
        <f t="shared" si="252"/>
        <v>20000</v>
      </c>
      <c r="AA421" s="1">
        <v>20000</v>
      </c>
      <c r="AB421" s="1">
        <f t="shared" si="253"/>
        <v>0</v>
      </c>
      <c r="AC421" s="1">
        <f t="shared" si="254"/>
        <v>20000</v>
      </c>
      <c r="AD421" s="41">
        <v>15000</v>
      </c>
      <c r="AE421" s="1">
        <f t="shared" si="230"/>
        <v>-5000</v>
      </c>
      <c r="AF421" s="1">
        <f t="shared" si="231"/>
        <v>15000</v>
      </c>
    </row>
    <row r="422" spans="1:32">
      <c r="A422" s="13">
        <v>13500</v>
      </c>
      <c r="B422" s="11">
        <v>21400</v>
      </c>
      <c r="C422" s="42" t="s">
        <v>780</v>
      </c>
      <c r="D422" s="7"/>
      <c r="E422" s="7"/>
      <c r="F422" s="7"/>
      <c r="G422" s="7"/>
      <c r="H422" s="7"/>
      <c r="I422" s="1"/>
      <c r="J422" s="1"/>
      <c r="K422" s="1"/>
      <c r="L422" s="1"/>
      <c r="N422" s="1"/>
      <c r="O422" s="1"/>
      <c r="T422" s="1"/>
      <c r="V422" s="1"/>
      <c r="W422" s="1">
        <v>0</v>
      </c>
      <c r="X422" s="1">
        <v>1000</v>
      </c>
      <c r="Y422" s="41">
        <f t="shared" si="251"/>
        <v>1000</v>
      </c>
      <c r="Z422" s="1">
        <f t="shared" si="252"/>
        <v>1000</v>
      </c>
      <c r="AA422" s="1">
        <v>1000</v>
      </c>
      <c r="AB422" s="41">
        <f t="shared" si="253"/>
        <v>0</v>
      </c>
      <c r="AC422" s="1">
        <f t="shared" si="254"/>
        <v>1000</v>
      </c>
      <c r="AD422" s="41">
        <v>1000</v>
      </c>
      <c r="AE422" s="1">
        <f t="shared" si="230"/>
        <v>0</v>
      </c>
      <c r="AF422" s="1">
        <f t="shared" si="231"/>
        <v>1000</v>
      </c>
    </row>
    <row r="423" spans="1:32">
      <c r="A423" s="11">
        <v>15100</v>
      </c>
      <c r="B423" s="11">
        <v>21400</v>
      </c>
      <c r="C423" s="11" t="s">
        <v>73</v>
      </c>
      <c r="D423" s="7">
        <v>1500</v>
      </c>
      <c r="E423" s="7"/>
      <c r="F423" s="7">
        <f>D423-E423</f>
        <v>1500</v>
      </c>
      <c r="G423" s="7"/>
      <c r="H423" s="7">
        <f>D423+G423</f>
        <v>1500</v>
      </c>
      <c r="I423" s="1"/>
      <c r="J423" s="1">
        <f>H423-I423</f>
        <v>1500</v>
      </c>
      <c r="K423" s="1"/>
      <c r="L423" s="1">
        <f>H423+K423</f>
        <v>1500</v>
      </c>
      <c r="N423" s="1">
        <f t="shared" ref="N423:N454" si="255">L423+M423</f>
        <v>1500</v>
      </c>
      <c r="O423" s="1"/>
      <c r="Q423" s="1">
        <f t="shared" ref="Q423:Q454" si="256">N423+P423</f>
        <v>1500</v>
      </c>
      <c r="T423" s="1">
        <f t="shared" ref="T423:U425" si="257">Q423+S423</f>
        <v>1500</v>
      </c>
      <c r="U423" s="1">
        <f t="shared" si="257"/>
        <v>1500</v>
      </c>
      <c r="V423" s="1">
        <f t="shared" ref="V423:V454" si="258">U423-T423</f>
        <v>0</v>
      </c>
      <c r="W423" s="1">
        <f t="shared" ref="W423:W454" si="259">T423+V423</f>
        <v>1500</v>
      </c>
      <c r="X423" s="1">
        <v>1500</v>
      </c>
      <c r="Y423" s="41">
        <f t="shared" si="251"/>
        <v>0</v>
      </c>
      <c r="Z423" s="1">
        <f t="shared" si="252"/>
        <v>1500</v>
      </c>
      <c r="AA423" s="1">
        <v>800</v>
      </c>
      <c r="AB423" s="1">
        <f t="shared" si="253"/>
        <v>-700</v>
      </c>
      <c r="AC423" s="1">
        <f t="shared" si="254"/>
        <v>800</v>
      </c>
      <c r="AD423" s="41">
        <v>800</v>
      </c>
      <c r="AE423" s="1">
        <f t="shared" si="230"/>
        <v>0</v>
      </c>
      <c r="AF423" s="1">
        <f t="shared" si="231"/>
        <v>800</v>
      </c>
    </row>
    <row r="424" spans="1:32">
      <c r="A424" s="13">
        <v>16500</v>
      </c>
      <c r="B424" s="11">
        <v>21400</v>
      </c>
      <c r="C424" s="11" t="s">
        <v>322</v>
      </c>
      <c r="D424" s="7">
        <v>1600</v>
      </c>
      <c r="E424" s="7"/>
      <c r="F424" s="7">
        <f>D424-E424</f>
        <v>1600</v>
      </c>
      <c r="G424" s="7"/>
      <c r="H424" s="7">
        <f>D424+G424</f>
        <v>1600</v>
      </c>
      <c r="I424" s="1"/>
      <c r="J424" s="1">
        <f>H424-I424</f>
        <v>1600</v>
      </c>
      <c r="K424" s="1"/>
      <c r="L424" s="1">
        <f>H424+K424</f>
        <v>1600</v>
      </c>
      <c r="N424" s="1">
        <f t="shared" si="255"/>
        <v>1600</v>
      </c>
      <c r="O424" s="1"/>
      <c r="Q424" s="1">
        <f t="shared" si="256"/>
        <v>1600</v>
      </c>
      <c r="T424" s="1">
        <f t="shared" si="257"/>
        <v>1600</v>
      </c>
      <c r="U424" s="1">
        <f t="shared" si="257"/>
        <v>1600</v>
      </c>
      <c r="V424" s="1">
        <f t="shared" si="258"/>
        <v>0</v>
      </c>
      <c r="W424" s="1">
        <f t="shared" si="259"/>
        <v>1600</v>
      </c>
      <c r="X424" s="1">
        <v>2000</v>
      </c>
      <c r="Y424" s="41">
        <f t="shared" si="251"/>
        <v>400</v>
      </c>
      <c r="Z424" s="1">
        <f t="shared" si="252"/>
        <v>2000</v>
      </c>
      <c r="AA424" s="1">
        <f>7260</f>
        <v>7260</v>
      </c>
      <c r="AB424" s="1">
        <f t="shared" si="253"/>
        <v>5260</v>
      </c>
      <c r="AC424" s="1">
        <f t="shared" si="254"/>
        <v>7260</v>
      </c>
      <c r="AD424" s="41">
        <v>7500</v>
      </c>
      <c r="AE424" s="1">
        <f t="shared" si="230"/>
        <v>240</v>
      </c>
      <c r="AF424" s="1">
        <f t="shared" si="231"/>
        <v>7500</v>
      </c>
    </row>
    <row r="425" spans="1:32">
      <c r="A425" s="13">
        <v>17000</v>
      </c>
      <c r="B425" s="11">
        <v>21400</v>
      </c>
      <c r="C425" s="11" t="s">
        <v>322</v>
      </c>
      <c r="D425" s="7">
        <v>500</v>
      </c>
      <c r="E425" s="7"/>
      <c r="F425" s="7">
        <f>D425-E425</f>
        <v>500</v>
      </c>
      <c r="G425" s="7"/>
      <c r="H425" s="7">
        <f>D425+G425</f>
        <v>500</v>
      </c>
      <c r="I425" s="1"/>
      <c r="J425" s="1">
        <f>H425-I425</f>
        <v>500</v>
      </c>
      <c r="K425" s="1"/>
      <c r="L425" s="1">
        <f>H425+K425</f>
        <v>500</v>
      </c>
      <c r="N425" s="1">
        <f t="shared" si="255"/>
        <v>500</v>
      </c>
      <c r="O425" s="1"/>
      <c r="Q425" s="1">
        <f t="shared" si="256"/>
        <v>500</v>
      </c>
      <c r="T425" s="1">
        <f t="shared" si="257"/>
        <v>500</v>
      </c>
      <c r="U425" s="1">
        <f t="shared" si="257"/>
        <v>500</v>
      </c>
      <c r="V425" s="1">
        <f t="shared" si="258"/>
        <v>0</v>
      </c>
      <c r="W425" s="1">
        <f t="shared" si="259"/>
        <v>500</v>
      </c>
      <c r="X425" s="1">
        <v>3000</v>
      </c>
      <c r="Y425" s="41">
        <f t="shared" si="251"/>
        <v>2500</v>
      </c>
      <c r="Z425" s="1">
        <f t="shared" si="252"/>
        <v>3000</v>
      </c>
      <c r="AA425" s="1">
        <v>3000</v>
      </c>
      <c r="AB425" s="1">
        <f t="shared" si="253"/>
        <v>0</v>
      </c>
      <c r="AC425" s="1">
        <f t="shared" si="254"/>
        <v>3000</v>
      </c>
      <c r="AD425" s="41">
        <v>3000</v>
      </c>
      <c r="AE425" s="1">
        <f t="shared" si="230"/>
        <v>0</v>
      </c>
      <c r="AF425" s="1">
        <f t="shared" si="231"/>
        <v>3000</v>
      </c>
    </row>
    <row r="426" spans="1:32">
      <c r="A426" s="13">
        <v>17100</v>
      </c>
      <c r="B426" s="11">
        <v>21400</v>
      </c>
      <c r="C426" s="11" t="s">
        <v>322</v>
      </c>
      <c r="D426" s="7">
        <v>4808</v>
      </c>
      <c r="E426" s="7"/>
      <c r="F426" s="7">
        <f>D426-E426</f>
        <v>4808</v>
      </c>
      <c r="G426" s="7">
        <v>-1808</v>
      </c>
      <c r="H426" s="7">
        <f>D426+G426</f>
        <v>3000</v>
      </c>
      <c r="I426" s="1"/>
      <c r="J426" s="1">
        <f>H426-I426</f>
        <v>3000</v>
      </c>
      <c r="K426" s="1"/>
      <c r="L426" s="1">
        <f>H426+K426</f>
        <v>3000</v>
      </c>
      <c r="N426" s="1">
        <f t="shared" si="255"/>
        <v>3000</v>
      </c>
      <c r="O426" s="1"/>
      <c r="Q426" s="1">
        <f t="shared" si="256"/>
        <v>3000</v>
      </c>
      <c r="T426" s="1">
        <f t="shared" ref="T426:T473" si="260">Q426+S426</f>
        <v>3000</v>
      </c>
      <c r="U426" s="1">
        <v>12000</v>
      </c>
      <c r="V426" s="1">
        <f t="shared" si="258"/>
        <v>9000</v>
      </c>
      <c r="W426" s="1">
        <f t="shared" si="259"/>
        <v>12000</v>
      </c>
      <c r="X426" s="1">
        <v>15000</v>
      </c>
      <c r="Y426" s="41">
        <f t="shared" si="251"/>
        <v>3000</v>
      </c>
      <c r="Z426" s="1">
        <f t="shared" si="252"/>
        <v>15000</v>
      </c>
      <c r="AA426" s="1">
        <v>15000</v>
      </c>
      <c r="AB426" s="1">
        <f t="shared" si="253"/>
        <v>0</v>
      </c>
      <c r="AC426" s="1">
        <f t="shared" si="254"/>
        <v>15000</v>
      </c>
      <c r="AD426" s="41">
        <v>10000</v>
      </c>
      <c r="AE426" s="1">
        <f t="shared" si="230"/>
        <v>-5000</v>
      </c>
      <c r="AF426" s="1">
        <f t="shared" si="231"/>
        <v>10000</v>
      </c>
    </row>
    <row r="427" spans="1:32">
      <c r="A427" s="13">
        <v>23110</v>
      </c>
      <c r="B427" s="11">
        <v>21400</v>
      </c>
      <c r="C427" s="11" t="s">
        <v>322</v>
      </c>
      <c r="D427" s="8"/>
      <c r="E427" s="8"/>
      <c r="F427" s="8"/>
      <c r="G427" s="8"/>
      <c r="H427" s="8"/>
      <c r="I427" s="8"/>
      <c r="J427" s="8"/>
      <c r="K427" s="8"/>
      <c r="L427" s="10">
        <v>500</v>
      </c>
      <c r="M427" s="10">
        <v>0</v>
      </c>
      <c r="N427" s="7">
        <f t="shared" si="255"/>
        <v>500</v>
      </c>
      <c r="O427" s="7"/>
      <c r="P427" s="3"/>
      <c r="Q427" s="1">
        <f t="shared" si="256"/>
        <v>500</v>
      </c>
      <c r="R427" s="3"/>
      <c r="S427" s="3"/>
      <c r="T427" s="1">
        <f t="shared" si="260"/>
        <v>500</v>
      </c>
      <c r="U427" s="1">
        <f>R427+T427</f>
        <v>500</v>
      </c>
      <c r="V427" s="1">
        <f t="shared" si="258"/>
        <v>0</v>
      </c>
      <c r="W427" s="1">
        <f t="shared" si="259"/>
        <v>500</v>
      </c>
      <c r="X427" s="41">
        <v>2000</v>
      </c>
      <c r="Y427" s="41">
        <f t="shared" si="251"/>
        <v>1500</v>
      </c>
      <c r="Z427" s="1">
        <f t="shared" si="252"/>
        <v>2000</v>
      </c>
      <c r="AA427" s="41">
        <v>500</v>
      </c>
      <c r="AB427" s="41">
        <f t="shared" si="253"/>
        <v>-1500</v>
      </c>
      <c r="AC427" s="1">
        <f t="shared" si="254"/>
        <v>500</v>
      </c>
      <c r="AD427" s="41">
        <v>500</v>
      </c>
      <c r="AE427" s="1">
        <f t="shared" si="230"/>
        <v>0</v>
      </c>
      <c r="AF427" s="1">
        <f t="shared" si="231"/>
        <v>500</v>
      </c>
    </row>
    <row r="428" spans="1:32">
      <c r="A428" s="42">
        <v>23113</v>
      </c>
      <c r="B428" s="11">
        <v>21400</v>
      </c>
      <c r="C428" s="11" t="s">
        <v>347</v>
      </c>
      <c r="D428" s="7">
        <v>2564.6999999999998</v>
      </c>
      <c r="E428" s="7">
        <v>1119.99</v>
      </c>
      <c r="F428" s="7">
        <f t="shared" ref="F428:F442" si="261">D428-E428</f>
        <v>1444.7099999999998</v>
      </c>
      <c r="G428" s="7">
        <v>-1444.71</v>
      </c>
      <c r="H428" s="7">
        <f t="shared" ref="H428:H442" si="262">D428+G428</f>
        <v>1119.9899999999998</v>
      </c>
      <c r="I428" s="7"/>
      <c r="J428" s="7">
        <f t="shared" ref="J428:J442" si="263">H428-I428</f>
        <v>1119.9899999999998</v>
      </c>
      <c r="K428" s="7"/>
      <c r="L428" s="7">
        <v>1119.99</v>
      </c>
      <c r="M428" s="7">
        <v>0</v>
      </c>
      <c r="N428" s="7">
        <f t="shared" si="255"/>
        <v>1119.99</v>
      </c>
      <c r="O428" s="7"/>
      <c r="P428" s="3"/>
      <c r="Q428" s="1">
        <f t="shared" si="256"/>
        <v>1119.99</v>
      </c>
      <c r="R428" s="3"/>
      <c r="S428" s="3"/>
      <c r="T428" s="1">
        <f t="shared" si="260"/>
        <v>1119.99</v>
      </c>
      <c r="U428" s="1">
        <f>R428+T428</f>
        <v>1119.99</v>
      </c>
      <c r="V428" s="1">
        <f t="shared" si="258"/>
        <v>0</v>
      </c>
      <c r="W428" s="1">
        <f t="shared" si="259"/>
        <v>1119.99</v>
      </c>
      <c r="X428" s="41">
        <v>600</v>
      </c>
      <c r="Y428" s="41">
        <f t="shared" si="251"/>
        <v>-519.99</v>
      </c>
      <c r="Z428" s="1">
        <f t="shared" si="252"/>
        <v>600</v>
      </c>
      <c r="AA428" s="41">
        <v>2600</v>
      </c>
      <c r="AB428" s="41">
        <f t="shared" si="253"/>
        <v>2000</v>
      </c>
      <c r="AC428" s="1">
        <f t="shared" si="254"/>
        <v>2600</v>
      </c>
      <c r="AD428" s="41">
        <v>4000</v>
      </c>
      <c r="AE428" s="1">
        <f t="shared" si="230"/>
        <v>1400</v>
      </c>
      <c r="AF428" s="1">
        <f t="shared" si="231"/>
        <v>4000</v>
      </c>
    </row>
    <row r="429" spans="1:32">
      <c r="A429" s="11">
        <v>32000</v>
      </c>
      <c r="B429" s="11">
        <v>21400</v>
      </c>
      <c r="C429" s="11" t="s">
        <v>365</v>
      </c>
      <c r="D429" s="7">
        <v>800</v>
      </c>
      <c r="E429" s="7"/>
      <c r="F429" s="7">
        <f t="shared" si="261"/>
        <v>800</v>
      </c>
      <c r="G429" s="7"/>
      <c r="H429" s="7">
        <f t="shared" si="262"/>
        <v>800</v>
      </c>
      <c r="I429" s="1"/>
      <c r="J429" s="1">
        <f t="shared" si="263"/>
        <v>800</v>
      </c>
      <c r="K429" s="1"/>
      <c r="L429" s="1">
        <f>H429+K429</f>
        <v>800</v>
      </c>
      <c r="N429" s="1">
        <f t="shared" si="255"/>
        <v>800</v>
      </c>
      <c r="O429" s="1"/>
      <c r="P429" s="3"/>
      <c r="Q429" s="1">
        <f t="shared" si="256"/>
        <v>800</v>
      </c>
      <c r="R429" s="3"/>
      <c r="S429" s="3"/>
      <c r="T429" s="1">
        <f t="shared" si="260"/>
        <v>800</v>
      </c>
      <c r="U429" s="1">
        <f>R429+T429</f>
        <v>800</v>
      </c>
      <c r="V429" s="1">
        <f t="shared" si="258"/>
        <v>0</v>
      </c>
      <c r="W429" s="1">
        <f t="shared" si="259"/>
        <v>800</v>
      </c>
      <c r="X429" s="41">
        <v>200</v>
      </c>
      <c r="Y429" s="41">
        <f t="shared" si="251"/>
        <v>-600</v>
      </c>
      <c r="Z429" s="1">
        <f t="shared" si="252"/>
        <v>200</v>
      </c>
      <c r="AA429" s="41">
        <v>2000</v>
      </c>
      <c r="AB429" s="41">
        <f t="shared" si="253"/>
        <v>1800</v>
      </c>
      <c r="AC429" s="1">
        <f t="shared" si="254"/>
        <v>2000</v>
      </c>
      <c r="AD429" s="41">
        <v>2000</v>
      </c>
      <c r="AE429" s="1">
        <f t="shared" si="230"/>
        <v>0</v>
      </c>
      <c r="AF429" s="1">
        <f t="shared" si="231"/>
        <v>2000</v>
      </c>
    </row>
    <row r="430" spans="1:32">
      <c r="A430" s="11">
        <v>45900</v>
      </c>
      <c r="B430" s="11">
        <v>21400</v>
      </c>
      <c r="C430" s="11" t="s">
        <v>170</v>
      </c>
      <c r="D430" s="7">
        <v>8177.82</v>
      </c>
      <c r="E430" s="7"/>
      <c r="F430" s="7">
        <f t="shared" si="261"/>
        <v>8177.82</v>
      </c>
      <c r="G430" s="7">
        <v>-3177.82</v>
      </c>
      <c r="H430" s="7">
        <f t="shared" si="262"/>
        <v>5000</v>
      </c>
      <c r="I430" s="1"/>
      <c r="J430" s="1">
        <f t="shared" si="263"/>
        <v>5000</v>
      </c>
      <c r="K430" s="1"/>
      <c r="L430" s="1">
        <f>H430+K430</f>
        <v>5000</v>
      </c>
      <c r="N430" s="1">
        <f t="shared" si="255"/>
        <v>5000</v>
      </c>
      <c r="O430" s="1"/>
      <c r="Q430" s="1">
        <f t="shared" si="256"/>
        <v>5000</v>
      </c>
      <c r="T430" s="1">
        <f t="shared" si="260"/>
        <v>5000</v>
      </c>
      <c r="U430" s="1">
        <f>R430+T430</f>
        <v>5000</v>
      </c>
      <c r="V430" s="1">
        <f t="shared" si="258"/>
        <v>0</v>
      </c>
      <c r="W430" s="1">
        <f t="shared" si="259"/>
        <v>5000</v>
      </c>
      <c r="X430" s="1">
        <v>8000</v>
      </c>
      <c r="Y430" s="41">
        <f t="shared" si="251"/>
        <v>3000</v>
      </c>
      <c r="Z430" s="1">
        <f t="shared" si="252"/>
        <v>8000</v>
      </c>
      <c r="AA430" s="1">
        <v>8000</v>
      </c>
      <c r="AB430" s="1">
        <f t="shared" si="253"/>
        <v>0</v>
      </c>
      <c r="AC430" s="1">
        <f t="shared" si="254"/>
        <v>8000</v>
      </c>
      <c r="AD430" s="41">
        <v>9000</v>
      </c>
      <c r="AE430" s="1">
        <f t="shared" si="230"/>
        <v>1000</v>
      </c>
      <c r="AF430" s="1">
        <f t="shared" si="231"/>
        <v>9000</v>
      </c>
    </row>
    <row r="431" spans="1:32">
      <c r="A431" s="11">
        <v>91200</v>
      </c>
      <c r="B431" s="11">
        <v>21400</v>
      </c>
      <c r="C431" s="11" t="s">
        <v>228</v>
      </c>
      <c r="D431" s="7">
        <v>1200</v>
      </c>
      <c r="E431" s="7"/>
      <c r="F431" s="7">
        <f t="shared" si="261"/>
        <v>1200</v>
      </c>
      <c r="G431" s="7">
        <v>2000</v>
      </c>
      <c r="H431" s="7">
        <f t="shared" si="262"/>
        <v>3200</v>
      </c>
      <c r="I431" s="1"/>
      <c r="J431" s="1">
        <f t="shared" si="263"/>
        <v>3200</v>
      </c>
      <c r="K431" s="1"/>
      <c r="L431" s="1">
        <f>H431+K431</f>
        <v>3200</v>
      </c>
      <c r="N431" s="1">
        <f t="shared" si="255"/>
        <v>3200</v>
      </c>
      <c r="O431" s="1"/>
      <c r="P431" s="3"/>
      <c r="Q431" s="1">
        <f t="shared" si="256"/>
        <v>3200</v>
      </c>
      <c r="R431" s="3"/>
      <c r="S431" s="3"/>
      <c r="T431" s="1">
        <f t="shared" si="260"/>
        <v>3200</v>
      </c>
      <c r="U431" s="1">
        <f>R431+T431</f>
        <v>3200</v>
      </c>
      <c r="V431" s="1">
        <f t="shared" si="258"/>
        <v>0</v>
      </c>
      <c r="W431" s="1">
        <f t="shared" si="259"/>
        <v>3200</v>
      </c>
      <c r="X431" s="41">
        <v>1000</v>
      </c>
      <c r="Y431" s="41">
        <f t="shared" si="251"/>
        <v>-2200</v>
      </c>
      <c r="Z431" s="1">
        <f t="shared" si="252"/>
        <v>1000</v>
      </c>
      <c r="AA431" s="41">
        <v>1000</v>
      </c>
      <c r="AB431" s="1">
        <f t="shared" si="253"/>
        <v>0</v>
      </c>
      <c r="AC431" s="1">
        <f t="shared" si="254"/>
        <v>1000</v>
      </c>
      <c r="AD431" s="41">
        <v>0</v>
      </c>
      <c r="AE431" s="1">
        <f t="shared" si="230"/>
        <v>-1000</v>
      </c>
      <c r="AF431" s="1">
        <f t="shared" si="231"/>
        <v>0</v>
      </c>
    </row>
    <row r="432" spans="1:32">
      <c r="A432" s="11">
        <v>92000</v>
      </c>
      <c r="B432" s="11">
        <v>21400</v>
      </c>
      <c r="C432" s="11" t="s">
        <v>245</v>
      </c>
      <c r="D432" s="7">
        <v>128</v>
      </c>
      <c r="E432" s="7"/>
      <c r="F432" s="7">
        <f t="shared" si="261"/>
        <v>128</v>
      </c>
      <c r="G432" s="7"/>
      <c r="H432" s="7">
        <f t="shared" si="262"/>
        <v>128</v>
      </c>
      <c r="I432" s="1"/>
      <c r="J432" s="1">
        <f t="shared" si="263"/>
        <v>128</v>
      </c>
      <c r="K432" s="1"/>
      <c r="L432" s="1">
        <f>H432+K432</f>
        <v>128</v>
      </c>
      <c r="N432" s="1">
        <f t="shared" si="255"/>
        <v>128</v>
      </c>
      <c r="O432" s="1"/>
      <c r="P432" s="3"/>
      <c r="Q432" s="1">
        <f t="shared" si="256"/>
        <v>128</v>
      </c>
      <c r="R432" s="3"/>
      <c r="S432" s="3"/>
      <c r="T432" s="1">
        <f t="shared" si="260"/>
        <v>128</v>
      </c>
      <c r="U432" s="41">
        <v>0</v>
      </c>
      <c r="V432" s="1">
        <f t="shared" si="258"/>
        <v>-128</v>
      </c>
      <c r="W432" s="1">
        <f t="shared" si="259"/>
        <v>0</v>
      </c>
      <c r="X432" s="41">
        <v>0</v>
      </c>
      <c r="Y432" s="41">
        <f t="shared" si="251"/>
        <v>0</v>
      </c>
      <c r="Z432" s="1">
        <f t="shared" si="252"/>
        <v>0</v>
      </c>
      <c r="AA432" s="41">
        <v>0</v>
      </c>
      <c r="AB432" s="1">
        <f t="shared" si="253"/>
        <v>0</v>
      </c>
      <c r="AC432" s="1">
        <f t="shared" si="254"/>
        <v>0</v>
      </c>
      <c r="AD432" s="41">
        <v>1000</v>
      </c>
      <c r="AE432" s="1">
        <f t="shared" si="230"/>
        <v>1000</v>
      </c>
      <c r="AF432" s="1">
        <f t="shared" si="231"/>
        <v>1000</v>
      </c>
    </row>
    <row r="433" spans="1:32">
      <c r="A433" s="11">
        <v>33600</v>
      </c>
      <c r="B433" s="11">
        <v>21500</v>
      </c>
      <c r="C433" s="11" t="s">
        <v>463</v>
      </c>
      <c r="D433" s="7">
        <v>3846.48</v>
      </c>
      <c r="E433" s="7"/>
      <c r="F433" s="7">
        <f t="shared" si="261"/>
        <v>3846.48</v>
      </c>
      <c r="G433" s="7">
        <v>-846.48</v>
      </c>
      <c r="H433" s="7">
        <f t="shared" si="262"/>
        <v>3000</v>
      </c>
      <c r="I433" s="1"/>
      <c r="J433" s="1">
        <f t="shared" si="263"/>
        <v>3000</v>
      </c>
      <c r="K433" s="1"/>
      <c r="L433" s="1">
        <f>H433+K433</f>
        <v>3000</v>
      </c>
      <c r="N433" s="1">
        <f t="shared" si="255"/>
        <v>3000</v>
      </c>
      <c r="O433" s="1"/>
      <c r="Q433" s="1">
        <f t="shared" si="256"/>
        <v>3000</v>
      </c>
      <c r="T433" s="1">
        <f t="shared" si="260"/>
        <v>3000</v>
      </c>
      <c r="U433" s="1">
        <f>R433+T433</f>
        <v>3000</v>
      </c>
      <c r="V433" s="1">
        <f t="shared" si="258"/>
        <v>0</v>
      </c>
      <c r="W433" s="1">
        <f t="shared" si="259"/>
        <v>3000</v>
      </c>
      <c r="X433" s="1">
        <v>1000</v>
      </c>
      <c r="Y433" s="41">
        <f t="shared" si="251"/>
        <v>-2000</v>
      </c>
      <c r="Z433" s="1">
        <f t="shared" si="252"/>
        <v>1000</v>
      </c>
      <c r="AA433" s="1">
        <v>1000</v>
      </c>
      <c r="AB433" s="1">
        <f t="shared" si="253"/>
        <v>0</v>
      </c>
      <c r="AC433" s="1">
        <f t="shared" si="254"/>
        <v>1000</v>
      </c>
      <c r="AD433" s="41">
        <v>0</v>
      </c>
      <c r="AE433" s="1">
        <f t="shared" si="230"/>
        <v>-1000</v>
      </c>
      <c r="AF433" s="1">
        <f t="shared" si="231"/>
        <v>0</v>
      </c>
    </row>
    <row r="434" spans="1:32">
      <c r="A434" s="11">
        <v>92600</v>
      </c>
      <c r="B434" s="11">
        <v>21600</v>
      </c>
      <c r="C434" s="11" t="s">
        <v>289</v>
      </c>
      <c r="D434" s="7">
        <v>90000</v>
      </c>
      <c r="E434" s="7"/>
      <c r="F434" s="7">
        <f t="shared" si="261"/>
        <v>90000</v>
      </c>
      <c r="G434" s="7">
        <v>-4500</v>
      </c>
      <c r="H434" s="7">
        <f t="shared" si="262"/>
        <v>85500</v>
      </c>
      <c r="I434" s="7"/>
      <c r="J434" s="7">
        <f t="shared" si="263"/>
        <v>85500</v>
      </c>
      <c r="K434" s="7"/>
      <c r="L434" s="7">
        <v>85500</v>
      </c>
      <c r="M434" s="7">
        <f>138000-L434</f>
        <v>52500</v>
      </c>
      <c r="N434" s="7">
        <f t="shared" si="255"/>
        <v>138000</v>
      </c>
      <c r="O434" s="7"/>
      <c r="Q434" s="1">
        <f t="shared" si="256"/>
        <v>138000</v>
      </c>
      <c r="T434" s="1">
        <f t="shared" si="260"/>
        <v>138000</v>
      </c>
      <c r="U434" s="1">
        <f>R434+T434</f>
        <v>138000</v>
      </c>
      <c r="V434" s="1">
        <f t="shared" si="258"/>
        <v>0</v>
      </c>
      <c r="W434" s="1">
        <f t="shared" si="259"/>
        <v>138000</v>
      </c>
      <c r="X434" s="1">
        <v>138000</v>
      </c>
      <c r="Y434" s="41">
        <f t="shared" si="251"/>
        <v>0</v>
      </c>
      <c r="Z434" s="1">
        <f t="shared" si="252"/>
        <v>138000</v>
      </c>
      <c r="AA434" s="1">
        <v>138000</v>
      </c>
      <c r="AB434" s="1">
        <f t="shared" si="253"/>
        <v>0</v>
      </c>
      <c r="AC434" s="1">
        <f t="shared" si="254"/>
        <v>138000</v>
      </c>
      <c r="AD434" s="41">
        <v>150000</v>
      </c>
      <c r="AE434" s="1">
        <f t="shared" si="230"/>
        <v>12000</v>
      </c>
      <c r="AF434" s="1">
        <f t="shared" si="231"/>
        <v>150000</v>
      </c>
    </row>
    <row r="435" spans="1:32">
      <c r="A435" s="11">
        <v>45900</v>
      </c>
      <c r="B435" s="11">
        <v>21900</v>
      </c>
      <c r="C435" s="11" t="s">
        <v>171</v>
      </c>
      <c r="D435" s="7">
        <v>360.61</v>
      </c>
      <c r="E435" s="7"/>
      <c r="F435" s="7">
        <f t="shared" si="261"/>
        <v>360.61</v>
      </c>
      <c r="G435" s="7"/>
      <c r="H435" s="7">
        <f t="shared" si="262"/>
        <v>360.61</v>
      </c>
      <c r="I435" s="1"/>
      <c r="J435" s="1">
        <f t="shared" si="263"/>
        <v>360.61</v>
      </c>
      <c r="K435" s="1"/>
      <c r="L435" s="1">
        <f t="shared" ref="L435:L442" si="264">H435+K435</f>
        <v>360.61</v>
      </c>
      <c r="N435" s="1">
        <f t="shared" si="255"/>
        <v>360.61</v>
      </c>
      <c r="O435" s="1"/>
      <c r="Q435" s="1">
        <f t="shared" si="256"/>
        <v>360.61</v>
      </c>
      <c r="T435" s="1">
        <f t="shared" si="260"/>
        <v>360.61</v>
      </c>
      <c r="U435" s="1">
        <f>R435+T435</f>
        <v>360.61</v>
      </c>
      <c r="V435" s="1">
        <f t="shared" si="258"/>
        <v>0</v>
      </c>
      <c r="W435" s="1">
        <f t="shared" si="259"/>
        <v>360.61</v>
      </c>
      <c r="X435" s="1">
        <v>0</v>
      </c>
      <c r="Y435" s="41">
        <f t="shared" si="251"/>
        <v>-360.61</v>
      </c>
      <c r="Z435" s="1">
        <f t="shared" si="252"/>
        <v>0</v>
      </c>
      <c r="AA435" s="1">
        <v>0</v>
      </c>
      <c r="AB435" s="1">
        <f t="shared" si="253"/>
        <v>0</v>
      </c>
      <c r="AC435" s="1">
        <f t="shared" si="254"/>
        <v>0</v>
      </c>
      <c r="AD435" s="41">
        <v>0</v>
      </c>
      <c r="AE435" s="1">
        <f t="shared" si="230"/>
        <v>0</v>
      </c>
      <c r="AF435" s="1">
        <f t="shared" si="231"/>
        <v>0</v>
      </c>
    </row>
    <row r="436" spans="1:32">
      <c r="A436" s="11">
        <v>13000</v>
      </c>
      <c r="B436" s="11">
        <v>22000</v>
      </c>
      <c r="C436" s="11" t="s">
        <v>271</v>
      </c>
      <c r="D436" s="7">
        <v>3769.55</v>
      </c>
      <c r="E436" s="7"/>
      <c r="F436" s="7">
        <f t="shared" si="261"/>
        <v>3769.55</v>
      </c>
      <c r="G436" s="7">
        <v>-1769.55</v>
      </c>
      <c r="H436" s="7">
        <f t="shared" si="262"/>
        <v>2000.0000000000002</v>
      </c>
      <c r="I436" s="1"/>
      <c r="J436" s="1">
        <f t="shared" si="263"/>
        <v>2000.0000000000002</v>
      </c>
      <c r="K436" s="1"/>
      <c r="L436" s="1">
        <f t="shared" si="264"/>
        <v>2000.0000000000002</v>
      </c>
      <c r="N436" s="1">
        <f t="shared" si="255"/>
        <v>2000.0000000000002</v>
      </c>
      <c r="O436" s="1"/>
      <c r="Q436" s="1">
        <f t="shared" si="256"/>
        <v>2000.0000000000002</v>
      </c>
      <c r="T436" s="1">
        <f t="shared" si="260"/>
        <v>2000.0000000000002</v>
      </c>
      <c r="U436" s="1">
        <f>R436+T436</f>
        <v>2000.0000000000002</v>
      </c>
      <c r="V436" s="1">
        <f t="shared" si="258"/>
        <v>0</v>
      </c>
      <c r="W436" s="1">
        <f t="shared" si="259"/>
        <v>2000.0000000000002</v>
      </c>
      <c r="X436" s="1">
        <v>2000</v>
      </c>
      <c r="Y436" s="41">
        <f t="shared" si="251"/>
        <v>0</v>
      </c>
      <c r="Z436" s="1">
        <f t="shared" si="252"/>
        <v>2000.0000000000002</v>
      </c>
      <c r="AA436" s="1">
        <v>1000</v>
      </c>
      <c r="AB436" s="1">
        <f t="shared" si="253"/>
        <v>-1000.0000000000002</v>
      </c>
      <c r="AC436" s="1">
        <f t="shared" si="254"/>
        <v>1000</v>
      </c>
      <c r="AD436" s="41">
        <v>500</v>
      </c>
      <c r="AE436" s="1">
        <f t="shared" si="230"/>
        <v>-500</v>
      </c>
      <c r="AF436" s="1">
        <f t="shared" si="231"/>
        <v>500</v>
      </c>
    </row>
    <row r="437" spans="1:32">
      <c r="A437" s="11">
        <v>13200</v>
      </c>
      <c r="B437" s="11">
        <v>22000</v>
      </c>
      <c r="C437" s="11" t="s">
        <v>303</v>
      </c>
      <c r="D437" s="7">
        <v>4808.1000000000004</v>
      </c>
      <c r="E437" s="7">
        <v>4500</v>
      </c>
      <c r="F437" s="7">
        <f t="shared" si="261"/>
        <v>308.10000000000036</v>
      </c>
      <c r="G437" s="7">
        <v>-308.10000000000002</v>
      </c>
      <c r="H437" s="7">
        <f t="shared" si="262"/>
        <v>4500</v>
      </c>
      <c r="I437" s="1"/>
      <c r="J437" s="1">
        <f t="shared" si="263"/>
        <v>4500</v>
      </c>
      <c r="K437" s="1"/>
      <c r="L437" s="1">
        <f t="shared" si="264"/>
        <v>4500</v>
      </c>
      <c r="N437" s="1">
        <f t="shared" si="255"/>
        <v>4500</v>
      </c>
      <c r="O437" s="1"/>
      <c r="Q437" s="1">
        <f t="shared" si="256"/>
        <v>4500</v>
      </c>
      <c r="R437" s="1">
        <v>19769.68</v>
      </c>
      <c r="T437" s="1">
        <f t="shared" si="260"/>
        <v>4500</v>
      </c>
      <c r="U437" s="1">
        <v>6500</v>
      </c>
      <c r="V437" s="1">
        <f t="shared" si="258"/>
        <v>2000</v>
      </c>
      <c r="W437" s="1">
        <f t="shared" si="259"/>
        <v>6500</v>
      </c>
      <c r="X437" s="1">
        <v>6500</v>
      </c>
      <c r="Y437" s="41">
        <f t="shared" si="251"/>
        <v>0</v>
      </c>
      <c r="Z437" s="1">
        <f t="shared" si="252"/>
        <v>6500</v>
      </c>
      <c r="AA437" s="1">
        <v>3000</v>
      </c>
      <c r="AB437" s="1">
        <f t="shared" si="253"/>
        <v>-3500</v>
      </c>
      <c r="AC437" s="1">
        <f t="shared" si="254"/>
        <v>3000</v>
      </c>
      <c r="AD437" s="41">
        <v>5000</v>
      </c>
      <c r="AE437" s="1">
        <f t="shared" si="230"/>
        <v>2000</v>
      </c>
      <c r="AF437" s="1">
        <f t="shared" si="231"/>
        <v>5000</v>
      </c>
    </row>
    <row r="438" spans="1:32">
      <c r="A438" s="13">
        <v>13500</v>
      </c>
      <c r="B438" s="11">
        <v>22000</v>
      </c>
      <c r="C438" s="42" t="s">
        <v>280</v>
      </c>
      <c r="D438" s="7">
        <v>300</v>
      </c>
      <c r="E438" s="7"/>
      <c r="F438" s="7">
        <f t="shared" si="261"/>
        <v>300</v>
      </c>
      <c r="G438" s="7"/>
      <c r="H438" s="7">
        <f t="shared" si="262"/>
        <v>300</v>
      </c>
      <c r="I438" s="1"/>
      <c r="J438" s="1">
        <f t="shared" si="263"/>
        <v>300</v>
      </c>
      <c r="K438" s="1"/>
      <c r="L438" s="1">
        <f t="shared" si="264"/>
        <v>300</v>
      </c>
      <c r="N438" s="1">
        <f t="shared" si="255"/>
        <v>300</v>
      </c>
      <c r="O438" s="1"/>
      <c r="Q438" s="1">
        <f t="shared" si="256"/>
        <v>300</v>
      </c>
      <c r="T438" s="1">
        <f t="shared" si="260"/>
        <v>300</v>
      </c>
      <c r="U438" s="1">
        <f t="shared" ref="U438:U453" si="265">R438+T438</f>
        <v>300</v>
      </c>
      <c r="V438" s="1">
        <f t="shared" si="258"/>
        <v>0</v>
      </c>
      <c r="W438" s="1">
        <f t="shared" si="259"/>
        <v>300</v>
      </c>
      <c r="X438" s="1">
        <v>100</v>
      </c>
      <c r="Y438" s="41">
        <f t="shared" si="251"/>
        <v>-200</v>
      </c>
      <c r="Z438" s="1">
        <f t="shared" si="252"/>
        <v>100</v>
      </c>
      <c r="AA438" s="1">
        <v>100</v>
      </c>
      <c r="AB438" s="41">
        <f t="shared" si="253"/>
        <v>0</v>
      </c>
      <c r="AC438" s="1">
        <f t="shared" si="254"/>
        <v>100</v>
      </c>
      <c r="AD438" s="41">
        <v>100</v>
      </c>
      <c r="AE438" s="1">
        <f t="shared" si="230"/>
        <v>0</v>
      </c>
      <c r="AF438" s="1">
        <f t="shared" si="231"/>
        <v>100</v>
      </c>
    </row>
    <row r="439" spans="1:32">
      <c r="A439" s="11">
        <v>15100</v>
      </c>
      <c r="B439" s="11">
        <v>22000</v>
      </c>
      <c r="C439" s="11" t="s">
        <v>376</v>
      </c>
      <c r="D439" s="7">
        <v>4005.06</v>
      </c>
      <c r="E439" s="7"/>
      <c r="F439" s="7">
        <f t="shared" si="261"/>
        <v>4005.06</v>
      </c>
      <c r="G439" s="7">
        <v>-1005.06</v>
      </c>
      <c r="H439" s="7">
        <f t="shared" si="262"/>
        <v>3000</v>
      </c>
      <c r="I439" s="1"/>
      <c r="J439" s="1">
        <f t="shared" si="263"/>
        <v>3000</v>
      </c>
      <c r="K439" s="1"/>
      <c r="L439" s="1">
        <f t="shared" si="264"/>
        <v>3000</v>
      </c>
      <c r="N439" s="1">
        <f t="shared" si="255"/>
        <v>3000</v>
      </c>
      <c r="O439" s="1"/>
      <c r="Q439" s="1">
        <f t="shared" si="256"/>
        <v>3000</v>
      </c>
      <c r="T439" s="1">
        <f t="shared" si="260"/>
        <v>3000</v>
      </c>
      <c r="U439" s="1">
        <f t="shared" si="265"/>
        <v>3000</v>
      </c>
      <c r="V439" s="1">
        <f t="shared" si="258"/>
        <v>0</v>
      </c>
      <c r="W439" s="1">
        <f t="shared" si="259"/>
        <v>3000</v>
      </c>
      <c r="X439" s="1">
        <v>3200</v>
      </c>
      <c r="Y439" s="41">
        <f t="shared" si="251"/>
        <v>200</v>
      </c>
      <c r="Z439" s="1">
        <f t="shared" si="252"/>
        <v>3200</v>
      </c>
      <c r="AA439" s="1">
        <v>4000</v>
      </c>
      <c r="AB439" s="1">
        <f t="shared" si="253"/>
        <v>800</v>
      </c>
      <c r="AC439" s="1">
        <f t="shared" si="254"/>
        <v>4000</v>
      </c>
      <c r="AD439" s="41">
        <v>5000</v>
      </c>
      <c r="AE439" s="1">
        <f t="shared" si="230"/>
        <v>1000</v>
      </c>
      <c r="AF439" s="1">
        <f t="shared" si="231"/>
        <v>5000</v>
      </c>
    </row>
    <row r="440" spans="1:32">
      <c r="A440" s="13">
        <v>16500</v>
      </c>
      <c r="B440" s="11">
        <v>22000</v>
      </c>
      <c r="C440" s="11" t="s">
        <v>280</v>
      </c>
      <c r="D440" s="7">
        <v>480</v>
      </c>
      <c r="E440" s="7"/>
      <c r="F440" s="7">
        <f t="shared" si="261"/>
        <v>480</v>
      </c>
      <c r="G440" s="7"/>
      <c r="H440" s="7">
        <f t="shared" si="262"/>
        <v>480</v>
      </c>
      <c r="I440" s="1"/>
      <c r="J440" s="1">
        <f t="shared" si="263"/>
        <v>480</v>
      </c>
      <c r="K440" s="1"/>
      <c r="L440" s="1">
        <f t="shared" si="264"/>
        <v>480</v>
      </c>
      <c r="N440" s="1">
        <f t="shared" si="255"/>
        <v>480</v>
      </c>
      <c r="O440" s="1"/>
      <c r="Q440" s="1">
        <f t="shared" si="256"/>
        <v>480</v>
      </c>
      <c r="T440" s="1">
        <f t="shared" si="260"/>
        <v>480</v>
      </c>
      <c r="U440" s="1">
        <f t="shared" si="265"/>
        <v>480</v>
      </c>
      <c r="V440" s="1">
        <f t="shared" si="258"/>
        <v>0</v>
      </c>
      <c r="W440" s="1">
        <f t="shared" si="259"/>
        <v>480</v>
      </c>
      <c r="X440" s="1">
        <v>300</v>
      </c>
      <c r="Y440" s="41">
        <f t="shared" si="251"/>
        <v>-180</v>
      </c>
      <c r="Z440" s="1">
        <f t="shared" si="252"/>
        <v>300</v>
      </c>
      <c r="AA440" s="1">
        <v>300</v>
      </c>
      <c r="AB440" s="1">
        <f t="shared" si="253"/>
        <v>0</v>
      </c>
      <c r="AC440" s="1">
        <f t="shared" si="254"/>
        <v>300</v>
      </c>
      <c r="AD440" s="41">
        <v>100</v>
      </c>
      <c r="AE440" s="1">
        <f t="shared" si="230"/>
        <v>-200</v>
      </c>
      <c r="AF440" s="1">
        <f t="shared" si="231"/>
        <v>100</v>
      </c>
    </row>
    <row r="441" spans="1:32">
      <c r="A441" s="13">
        <v>17000</v>
      </c>
      <c r="B441" s="11">
        <v>22000</v>
      </c>
      <c r="C441" s="11" t="s">
        <v>280</v>
      </c>
      <c r="D441" s="7">
        <v>500</v>
      </c>
      <c r="E441" s="7"/>
      <c r="F441" s="7">
        <f t="shared" si="261"/>
        <v>500</v>
      </c>
      <c r="G441" s="7"/>
      <c r="H441" s="7">
        <f t="shared" si="262"/>
        <v>500</v>
      </c>
      <c r="I441" s="1"/>
      <c r="J441" s="1">
        <f t="shared" si="263"/>
        <v>500</v>
      </c>
      <c r="K441" s="1"/>
      <c r="L441" s="1">
        <f t="shared" si="264"/>
        <v>500</v>
      </c>
      <c r="N441" s="1">
        <f t="shared" si="255"/>
        <v>500</v>
      </c>
      <c r="O441" s="1"/>
      <c r="Q441" s="1">
        <f t="shared" si="256"/>
        <v>500</v>
      </c>
      <c r="T441" s="1">
        <f t="shared" si="260"/>
        <v>500</v>
      </c>
      <c r="U441" s="1">
        <f t="shared" si="265"/>
        <v>500</v>
      </c>
      <c r="V441" s="1">
        <f t="shared" si="258"/>
        <v>0</v>
      </c>
      <c r="W441" s="1">
        <f t="shared" si="259"/>
        <v>500</v>
      </c>
      <c r="X441" s="1">
        <v>250</v>
      </c>
      <c r="Y441" s="41">
        <f t="shared" si="251"/>
        <v>-250</v>
      </c>
      <c r="Z441" s="1">
        <f t="shared" si="252"/>
        <v>250</v>
      </c>
      <c r="AA441" s="1">
        <v>250</v>
      </c>
      <c r="AB441" s="1">
        <f t="shared" si="253"/>
        <v>0</v>
      </c>
      <c r="AC441" s="1">
        <f t="shared" si="254"/>
        <v>250</v>
      </c>
      <c r="AD441" s="41">
        <v>500</v>
      </c>
      <c r="AE441" s="1">
        <f t="shared" si="230"/>
        <v>250</v>
      </c>
      <c r="AF441" s="1">
        <f t="shared" si="231"/>
        <v>500</v>
      </c>
    </row>
    <row r="442" spans="1:32">
      <c r="A442" s="13">
        <v>17100</v>
      </c>
      <c r="B442" s="11">
        <v>22000</v>
      </c>
      <c r="C442" s="11" t="s">
        <v>280</v>
      </c>
      <c r="D442" s="7">
        <v>640</v>
      </c>
      <c r="E442" s="7"/>
      <c r="F442" s="7">
        <f t="shared" si="261"/>
        <v>640</v>
      </c>
      <c r="G442" s="7"/>
      <c r="H442" s="7">
        <f t="shared" si="262"/>
        <v>640</v>
      </c>
      <c r="I442" s="1"/>
      <c r="J442" s="1">
        <f t="shared" si="263"/>
        <v>640</v>
      </c>
      <c r="K442" s="1"/>
      <c r="L442" s="1">
        <f t="shared" si="264"/>
        <v>640</v>
      </c>
      <c r="N442" s="1">
        <f t="shared" si="255"/>
        <v>640</v>
      </c>
      <c r="O442" s="1"/>
      <c r="Q442" s="1">
        <f t="shared" si="256"/>
        <v>640</v>
      </c>
      <c r="T442" s="1">
        <f t="shared" si="260"/>
        <v>640</v>
      </c>
      <c r="U442" s="1">
        <f t="shared" si="265"/>
        <v>640</v>
      </c>
      <c r="V442" s="1">
        <f t="shared" si="258"/>
        <v>0</v>
      </c>
      <c r="W442" s="1">
        <f t="shared" si="259"/>
        <v>640</v>
      </c>
      <c r="X442" s="1">
        <v>200</v>
      </c>
      <c r="Y442" s="41">
        <f t="shared" si="251"/>
        <v>-440</v>
      </c>
      <c r="Z442" s="1">
        <f t="shared" si="252"/>
        <v>200</v>
      </c>
      <c r="AA442" s="1">
        <v>200</v>
      </c>
      <c r="AB442" s="1">
        <f t="shared" si="253"/>
        <v>0</v>
      </c>
      <c r="AC442" s="1">
        <f t="shared" si="254"/>
        <v>200</v>
      </c>
      <c r="AD442" s="41">
        <v>100</v>
      </c>
      <c r="AE442" s="1">
        <f t="shared" si="230"/>
        <v>-100</v>
      </c>
      <c r="AF442" s="1">
        <f t="shared" si="231"/>
        <v>100</v>
      </c>
    </row>
    <row r="443" spans="1:32">
      <c r="A443" s="13">
        <v>23110</v>
      </c>
      <c r="B443" s="11">
        <v>22000</v>
      </c>
      <c r="C443" s="11" t="s">
        <v>323</v>
      </c>
      <c r="D443" s="8"/>
      <c r="E443" s="8"/>
      <c r="F443" s="8"/>
      <c r="G443" s="8"/>
      <c r="H443" s="8"/>
      <c r="I443" s="8"/>
      <c r="J443" s="8"/>
      <c r="K443" s="8"/>
      <c r="L443" s="10">
        <v>1000</v>
      </c>
      <c r="M443" s="10">
        <v>0</v>
      </c>
      <c r="N443" s="7">
        <f t="shared" si="255"/>
        <v>1000</v>
      </c>
      <c r="O443" s="7"/>
      <c r="P443" s="3"/>
      <c r="Q443" s="1">
        <f t="shared" si="256"/>
        <v>1000</v>
      </c>
      <c r="R443" s="3"/>
      <c r="S443" s="3"/>
      <c r="T443" s="1">
        <f t="shared" si="260"/>
        <v>1000</v>
      </c>
      <c r="U443" s="1">
        <f t="shared" si="265"/>
        <v>1000</v>
      </c>
      <c r="V443" s="1">
        <f t="shared" si="258"/>
        <v>0</v>
      </c>
      <c r="W443" s="1">
        <f t="shared" si="259"/>
        <v>1000</v>
      </c>
      <c r="X443" s="41">
        <v>1000</v>
      </c>
      <c r="Y443" s="41">
        <f t="shared" si="251"/>
        <v>0</v>
      </c>
      <c r="Z443" s="1">
        <f t="shared" si="252"/>
        <v>1000</v>
      </c>
      <c r="AA443" s="41">
        <v>1000</v>
      </c>
      <c r="AB443" s="41">
        <f t="shared" si="253"/>
        <v>0</v>
      </c>
      <c r="AC443" s="1">
        <f t="shared" si="254"/>
        <v>1000</v>
      </c>
      <c r="AD443" s="41">
        <v>1000</v>
      </c>
      <c r="AE443" s="1">
        <f t="shared" si="230"/>
        <v>0</v>
      </c>
      <c r="AF443" s="1">
        <f t="shared" si="231"/>
        <v>1000</v>
      </c>
    </row>
    <row r="444" spans="1:32">
      <c r="A444" s="13">
        <v>23111</v>
      </c>
      <c r="B444" s="11">
        <v>22000</v>
      </c>
      <c r="C444" s="11" t="s">
        <v>334</v>
      </c>
      <c r="D444" s="7">
        <v>500</v>
      </c>
      <c r="E444" s="7"/>
      <c r="F444" s="7">
        <f t="shared" ref="F444:F468" si="266">D444-E444</f>
        <v>500</v>
      </c>
      <c r="G444" s="7"/>
      <c r="H444" s="7">
        <f t="shared" ref="H444:H468" si="267">D444+G444</f>
        <v>500</v>
      </c>
      <c r="I444" s="7"/>
      <c r="J444" s="7">
        <f t="shared" ref="J444:J468" si="268">H444-I444</f>
        <v>500</v>
      </c>
      <c r="K444" s="7"/>
      <c r="L444" s="7">
        <v>500</v>
      </c>
      <c r="M444" s="10">
        <v>0</v>
      </c>
      <c r="N444" s="7">
        <f t="shared" si="255"/>
        <v>500</v>
      </c>
      <c r="O444" s="7"/>
      <c r="Q444" s="1">
        <f t="shared" si="256"/>
        <v>500</v>
      </c>
      <c r="T444" s="1">
        <f t="shared" si="260"/>
        <v>500</v>
      </c>
      <c r="U444" s="1">
        <f t="shared" si="265"/>
        <v>500</v>
      </c>
      <c r="V444" s="1">
        <f t="shared" si="258"/>
        <v>0</v>
      </c>
      <c r="W444" s="1">
        <f t="shared" si="259"/>
        <v>500</v>
      </c>
      <c r="X444" s="1">
        <v>500</v>
      </c>
      <c r="Y444" s="41">
        <f t="shared" si="251"/>
        <v>0</v>
      </c>
      <c r="Z444" s="1">
        <f t="shared" si="252"/>
        <v>500</v>
      </c>
      <c r="AA444" s="1">
        <v>500</v>
      </c>
      <c r="AB444" s="41">
        <f t="shared" si="253"/>
        <v>0</v>
      </c>
      <c r="AC444" s="1">
        <f t="shared" si="254"/>
        <v>500</v>
      </c>
      <c r="AD444" s="41">
        <v>500</v>
      </c>
      <c r="AE444" s="1">
        <f t="shared" si="230"/>
        <v>0</v>
      </c>
      <c r="AF444" s="1">
        <f t="shared" si="231"/>
        <v>500</v>
      </c>
    </row>
    <row r="445" spans="1:32">
      <c r="A445" s="11">
        <v>23112</v>
      </c>
      <c r="B445" s="11">
        <v>22000</v>
      </c>
      <c r="C445" s="11" t="s">
        <v>280</v>
      </c>
      <c r="D445" s="7">
        <v>960</v>
      </c>
      <c r="E445" s="7"/>
      <c r="F445" s="7">
        <f t="shared" si="266"/>
        <v>960</v>
      </c>
      <c r="G445" s="7"/>
      <c r="H445" s="7">
        <f t="shared" si="267"/>
        <v>960</v>
      </c>
      <c r="I445" s="1"/>
      <c r="J445" s="1">
        <f t="shared" si="268"/>
        <v>960</v>
      </c>
      <c r="K445" s="1"/>
      <c r="L445" s="1">
        <f>H445+K445</f>
        <v>960</v>
      </c>
      <c r="N445" s="1">
        <f t="shared" si="255"/>
        <v>960</v>
      </c>
      <c r="O445" s="1"/>
      <c r="Q445" s="1">
        <f t="shared" si="256"/>
        <v>960</v>
      </c>
      <c r="T445" s="1">
        <f t="shared" si="260"/>
        <v>960</v>
      </c>
      <c r="U445" s="1">
        <f t="shared" si="265"/>
        <v>960</v>
      </c>
      <c r="V445" s="1">
        <f t="shared" si="258"/>
        <v>0</v>
      </c>
      <c r="W445" s="1">
        <f t="shared" si="259"/>
        <v>960</v>
      </c>
      <c r="X445" s="1">
        <v>500</v>
      </c>
      <c r="Y445" s="41">
        <f t="shared" si="251"/>
        <v>-460</v>
      </c>
      <c r="Z445" s="1">
        <f t="shared" si="252"/>
        <v>500</v>
      </c>
      <c r="AA445" s="1">
        <v>1000</v>
      </c>
      <c r="AB445" s="1">
        <f t="shared" si="253"/>
        <v>500</v>
      </c>
      <c r="AC445" s="1">
        <f t="shared" si="254"/>
        <v>1000</v>
      </c>
      <c r="AD445" s="41">
        <v>100</v>
      </c>
      <c r="AE445" s="1">
        <f t="shared" si="230"/>
        <v>-900</v>
      </c>
      <c r="AF445" s="1">
        <f t="shared" si="231"/>
        <v>100</v>
      </c>
    </row>
    <row r="446" spans="1:32">
      <c r="A446" s="42">
        <v>23113</v>
      </c>
      <c r="B446" s="11">
        <v>22000</v>
      </c>
      <c r="C446" s="11" t="s">
        <v>348</v>
      </c>
      <c r="D446" s="7">
        <v>1030</v>
      </c>
      <c r="E446" s="7">
        <v>550</v>
      </c>
      <c r="F446" s="7">
        <f t="shared" si="266"/>
        <v>480</v>
      </c>
      <c r="G446" s="7">
        <v>-480</v>
      </c>
      <c r="H446" s="7">
        <f t="shared" si="267"/>
        <v>550</v>
      </c>
      <c r="I446" s="7"/>
      <c r="J446" s="7">
        <f t="shared" si="268"/>
        <v>550</v>
      </c>
      <c r="K446" s="7"/>
      <c r="L446" s="7">
        <v>550</v>
      </c>
      <c r="M446" s="7">
        <v>0</v>
      </c>
      <c r="N446" s="7">
        <f t="shared" si="255"/>
        <v>550</v>
      </c>
      <c r="O446" s="7"/>
      <c r="P446" s="3"/>
      <c r="Q446" s="1">
        <f t="shared" si="256"/>
        <v>550</v>
      </c>
      <c r="R446" s="3"/>
      <c r="S446" s="3"/>
      <c r="T446" s="1">
        <f t="shared" si="260"/>
        <v>550</v>
      </c>
      <c r="U446" s="1">
        <f t="shared" si="265"/>
        <v>550</v>
      </c>
      <c r="V446" s="1">
        <f t="shared" si="258"/>
        <v>0</v>
      </c>
      <c r="W446" s="1">
        <f t="shared" si="259"/>
        <v>550</v>
      </c>
      <c r="X446" s="41">
        <v>100</v>
      </c>
      <c r="Y446" s="41">
        <f t="shared" si="251"/>
        <v>-450</v>
      </c>
      <c r="Z446" s="1">
        <f t="shared" si="252"/>
        <v>100</v>
      </c>
      <c r="AA446" s="41">
        <v>2000</v>
      </c>
      <c r="AB446" s="41">
        <f t="shared" si="253"/>
        <v>1900</v>
      </c>
      <c r="AC446" s="1">
        <f t="shared" si="254"/>
        <v>2000</v>
      </c>
      <c r="AD446" s="41">
        <v>4000</v>
      </c>
      <c r="AE446" s="1">
        <f t="shared" si="230"/>
        <v>2000</v>
      </c>
      <c r="AF446" s="1">
        <f t="shared" si="231"/>
        <v>4000</v>
      </c>
    </row>
    <row r="447" spans="1:32">
      <c r="A447" s="11">
        <v>32000</v>
      </c>
      <c r="B447" s="11">
        <v>22000</v>
      </c>
      <c r="C447" s="11" t="s">
        <v>366</v>
      </c>
      <c r="D447" s="7">
        <v>1600</v>
      </c>
      <c r="E447" s="7"/>
      <c r="F447" s="7">
        <f t="shared" si="266"/>
        <v>1600</v>
      </c>
      <c r="G447" s="7"/>
      <c r="H447" s="7">
        <f t="shared" si="267"/>
        <v>1600</v>
      </c>
      <c r="I447" s="1"/>
      <c r="J447" s="1">
        <f t="shared" si="268"/>
        <v>1600</v>
      </c>
      <c r="K447" s="1"/>
      <c r="L447" s="1">
        <f>H447+K447</f>
        <v>1600</v>
      </c>
      <c r="N447" s="1">
        <f t="shared" si="255"/>
        <v>1600</v>
      </c>
      <c r="O447" s="1"/>
      <c r="P447" s="3"/>
      <c r="Q447" s="1">
        <f t="shared" si="256"/>
        <v>1600</v>
      </c>
      <c r="R447" s="3"/>
      <c r="S447" s="3"/>
      <c r="T447" s="1">
        <f t="shared" si="260"/>
        <v>1600</v>
      </c>
      <c r="U447" s="1">
        <f t="shared" si="265"/>
        <v>1600</v>
      </c>
      <c r="V447" s="1">
        <f t="shared" si="258"/>
        <v>0</v>
      </c>
      <c r="W447" s="1">
        <f t="shared" si="259"/>
        <v>1600</v>
      </c>
      <c r="X447" s="41">
        <v>2000</v>
      </c>
      <c r="Y447" s="41">
        <f t="shared" si="251"/>
        <v>400</v>
      </c>
      <c r="Z447" s="1">
        <f t="shared" si="252"/>
        <v>2000</v>
      </c>
      <c r="AA447" s="41">
        <v>2000</v>
      </c>
      <c r="AB447" s="41">
        <f t="shared" si="253"/>
        <v>0</v>
      </c>
      <c r="AC447" s="1">
        <f t="shared" si="254"/>
        <v>2000</v>
      </c>
      <c r="AD447" s="41">
        <v>2000</v>
      </c>
      <c r="AE447" s="1">
        <f t="shared" si="230"/>
        <v>0</v>
      </c>
      <c r="AF447" s="1">
        <f t="shared" si="231"/>
        <v>2000</v>
      </c>
    </row>
    <row r="448" spans="1:32">
      <c r="A448" s="11">
        <v>33220</v>
      </c>
      <c r="B448" s="11">
        <v>22000</v>
      </c>
      <c r="C448" s="11" t="s">
        <v>470</v>
      </c>
      <c r="D448" s="7">
        <v>1840</v>
      </c>
      <c r="E448" s="7"/>
      <c r="F448" s="7">
        <f t="shared" si="266"/>
        <v>1840</v>
      </c>
      <c r="G448" s="7">
        <v>-340</v>
      </c>
      <c r="H448" s="7">
        <f t="shared" si="267"/>
        <v>1500</v>
      </c>
      <c r="I448" s="1"/>
      <c r="J448" s="1">
        <f t="shared" si="268"/>
        <v>1500</v>
      </c>
      <c r="K448" s="1"/>
      <c r="L448" s="1">
        <f>H448+K448</f>
        <v>1500</v>
      </c>
      <c r="N448" s="1">
        <f t="shared" si="255"/>
        <v>1500</v>
      </c>
      <c r="O448" s="1"/>
      <c r="Q448" s="1">
        <f t="shared" si="256"/>
        <v>1500</v>
      </c>
      <c r="T448" s="1">
        <f t="shared" si="260"/>
        <v>1500</v>
      </c>
      <c r="U448" s="1">
        <f t="shared" si="265"/>
        <v>1500</v>
      </c>
      <c r="V448" s="1">
        <f t="shared" si="258"/>
        <v>0</v>
      </c>
      <c r="W448" s="1">
        <f t="shared" si="259"/>
        <v>1500</v>
      </c>
      <c r="X448" s="1">
        <v>500</v>
      </c>
      <c r="Y448" s="41">
        <f t="shared" si="251"/>
        <v>-1000</v>
      </c>
      <c r="Z448" s="1">
        <f t="shared" si="252"/>
        <v>500</v>
      </c>
      <c r="AA448" s="1">
        <v>1500</v>
      </c>
      <c r="AB448" s="41">
        <f t="shared" si="253"/>
        <v>1000</v>
      </c>
      <c r="AC448" s="1">
        <f t="shared" si="254"/>
        <v>1500</v>
      </c>
      <c r="AD448" s="41">
        <v>1500</v>
      </c>
      <c r="AE448" s="1">
        <f t="shared" si="230"/>
        <v>0</v>
      </c>
      <c r="AF448" s="1">
        <f t="shared" si="231"/>
        <v>1500</v>
      </c>
    </row>
    <row r="449" spans="1:32">
      <c r="A449" s="11">
        <v>33400</v>
      </c>
      <c r="B449" s="11">
        <v>22000</v>
      </c>
      <c r="C449" s="11" t="s">
        <v>422</v>
      </c>
      <c r="D449" s="7">
        <v>1600</v>
      </c>
      <c r="E449" s="7"/>
      <c r="F449" s="7">
        <f t="shared" si="266"/>
        <v>1600</v>
      </c>
      <c r="G449" s="7"/>
      <c r="H449" s="7">
        <f t="shared" si="267"/>
        <v>1600</v>
      </c>
      <c r="I449" s="1"/>
      <c r="J449" s="1">
        <f t="shared" si="268"/>
        <v>1600</v>
      </c>
      <c r="K449" s="1"/>
      <c r="L449" s="1">
        <f>H449+K449</f>
        <v>1600</v>
      </c>
      <c r="N449" s="1">
        <f t="shared" si="255"/>
        <v>1600</v>
      </c>
      <c r="O449" s="1"/>
      <c r="Q449" s="1">
        <f t="shared" si="256"/>
        <v>1600</v>
      </c>
      <c r="T449" s="1">
        <f t="shared" si="260"/>
        <v>1600</v>
      </c>
      <c r="U449" s="1">
        <f t="shared" si="265"/>
        <v>1600</v>
      </c>
      <c r="V449" s="1">
        <f t="shared" si="258"/>
        <v>0</v>
      </c>
      <c r="W449" s="1">
        <f t="shared" si="259"/>
        <v>1600</v>
      </c>
      <c r="X449" s="1">
        <v>1200</v>
      </c>
      <c r="Y449" s="41">
        <f t="shared" si="251"/>
        <v>-400</v>
      </c>
      <c r="Z449" s="1">
        <f t="shared" si="252"/>
        <v>1200</v>
      </c>
      <c r="AA449" s="1">
        <v>1000</v>
      </c>
      <c r="AB449" s="1">
        <f t="shared" si="253"/>
        <v>-200</v>
      </c>
      <c r="AC449" s="1">
        <f t="shared" si="254"/>
        <v>1000</v>
      </c>
      <c r="AD449" s="41">
        <v>1000</v>
      </c>
      <c r="AE449" s="1">
        <f t="shared" si="230"/>
        <v>0</v>
      </c>
      <c r="AF449" s="1">
        <f t="shared" si="231"/>
        <v>1000</v>
      </c>
    </row>
    <row r="450" spans="1:32">
      <c r="A450" s="11">
        <v>33600</v>
      </c>
      <c r="B450" s="11">
        <v>22000</v>
      </c>
      <c r="C450" s="11" t="s">
        <v>464</v>
      </c>
      <c r="D450" s="7">
        <v>2404.0500000000002</v>
      </c>
      <c r="E450" s="7"/>
      <c r="F450" s="7">
        <f t="shared" si="266"/>
        <v>2404.0500000000002</v>
      </c>
      <c r="G450" s="7">
        <v>-1404.05</v>
      </c>
      <c r="H450" s="7">
        <f t="shared" si="267"/>
        <v>1000.0000000000002</v>
      </c>
      <c r="I450" s="1"/>
      <c r="J450" s="1">
        <f t="shared" si="268"/>
        <v>1000.0000000000002</v>
      </c>
      <c r="K450" s="1"/>
      <c r="L450" s="1">
        <f>H450+K450</f>
        <v>1000.0000000000002</v>
      </c>
      <c r="N450" s="1">
        <f t="shared" si="255"/>
        <v>1000.0000000000002</v>
      </c>
      <c r="O450" s="1"/>
      <c r="Q450" s="1">
        <f t="shared" si="256"/>
        <v>1000.0000000000002</v>
      </c>
      <c r="T450" s="1">
        <f t="shared" si="260"/>
        <v>1000.0000000000002</v>
      </c>
      <c r="U450" s="1">
        <f t="shared" si="265"/>
        <v>1000.0000000000002</v>
      </c>
      <c r="V450" s="1">
        <f t="shared" si="258"/>
        <v>0</v>
      </c>
      <c r="W450" s="1">
        <f t="shared" si="259"/>
        <v>1000.0000000000002</v>
      </c>
      <c r="X450" s="1">
        <v>1000</v>
      </c>
      <c r="Y450" s="41">
        <f t="shared" si="251"/>
        <v>0</v>
      </c>
      <c r="Z450" s="1">
        <f t="shared" si="252"/>
        <v>1000.0000000000002</v>
      </c>
      <c r="AA450" s="1">
        <v>1000</v>
      </c>
      <c r="AB450" s="1">
        <f t="shared" si="253"/>
        <v>0</v>
      </c>
      <c r="AC450" s="1">
        <f t="shared" si="254"/>
        <v>1000.0000000000002</v>
      </c>
      <c r="AD450" s="41">
        <v>0</v>
      </c>
      <c r="AE450" s="1">
        <f t="shared" si="230"/>
        <v>-1000.0000000000002</v>
      </c>
      <c r="AF450" s="1">
        <f t="shared" si="231"/>
        <v>0</v>
      </c>
    </row>
    <row r="451" spans="1:32">
      <c r="A451" s="11">
        <v>33700</v>
      </c>
      <c r="B451" s="11">
        <v>22000</v>
      </c>
      <c r="C451" s="11" t="s">
        <v>280</v>
      </c>
      <c r="D451" s="7">
        <v>4000</v>
      </c>
      <c r="E451" s="7"/>
      <c r="F451" s="7">
        <f t="shared" si="266"/>
        <v>4000</v>
      </c>
      <c r="G451" s="7"/>
      <c r="H451" s="7">
        <f t="shared" si="267"/>
        <v>4000</v>
      </c>
      <c r="I451" s="1"/>
      <c r="J451" s="1">
        <f t="shared" si="268"/>
        <v>4000</v>
      </c>
      <c r="K451" s="1"/>
      <c r="L451" s="1">
        <f>H451+K451</f>
        <v>4000</v>
      </c>
      <c r="N451" s="1">
        <f t="shared" si="255"/>
        <v>4000</v>
      </c>
      <c r="O451" s="1"/>
      <c r="Q451" s="1">
        <f t="shared" si="256"/>
        <v>4000</v>
      </c>
      <c r="T451" s="1">
        <f t="shared" si="260"/>
        <v>4000</v>
      </c>
      <c r="U451" s="1">
        <f t="shared" si="265"/>
        <v>4000</v>
      </c>
      <c r="V451" s="1">
        <f t="shared" si="258"/>
        <v>0</v>
      </c>
      <c r="W451" s="1">
        <f t="shared" si="259"/>
        <v>4000</v>
      </c>
      <c r="X451" s="1">
        <v>2000</v>
      </c>
      <c r="Y451" s="41">
        <f t="shared" ref="Y451:Y482" si="269">X451-W451</f>
        <v>-2000</v>
      </c>
      <c r="Z451" s="1">
        <f t="shared" ref="Z451:Z482" si="270">W451+Y451</f>
        <v>2000</v>
      </c>
      <c r="AA451" s="1">
        <v>2000</v>
      </c>
      <c r="AB451" s="1">
        <f t="shared" ref="AB451:AB482" si="271">AA451-Z451</f>
        <v>0</v>
      </c>
      <c r="AC451" s="1">
        <f t="shared" ref="AC451:AC482" si="272">Z451+AB451</f>
        <v>2000</v>
      </c>
      <c r="AD451" s="41">
        <v>1000</v>
      </c>
      <c r="AE451" s="1">
        <f t="shared" si="230"/>
        <v>-1000</v>
      </c>
      <c r="AF451" s="1">
        <f t="shared" si="231"/>
        <v>1000</v>
      </c>
    </row>
    <row r="452" spans="1:32">
      <c r="A452" s="11">
        <v>33710</v>
      </c>
      <c r="B452" s="11">
        <v>22000</v>
      </c>
      <c r="C452" s="11" t="s">
        <v>280</v>
      </c>
      <c r="D452" s="7">
        <v>100</v>
      </c>
      <c r="E452" s="7"/>
      <c r="F452" s="7">
        <f t="shared" si="266"/>
        <v>100</v>
      </c>
      <c r="G452" s="7"/>
      <c r="H452" s="7">
        <f t="shared" si="267"/>
        <v>100</v>
      </c>
      <c r="I452" s="7"/>
      <c r="J452" s="7">
        <f t="shared" si="268"/>
        <v>100</v>
      </c>
      <c r="K452" s="7"/>
      <c r="L452" s="7">
        <v>100</v>
      </c>
      <c r="M452" s="7">
        <v>0</v>
      </c>
      <c r="N452" s="7">
        <f t="shared" si="255"/>
        <v>100</v>
      </c>
      <c r="O452" s="7"/>
      <c r="P452" s="3"/>
      <c r="Q452" s="1">
        <f t="shared" si="256"/>
        <v>100</v>
      </c>
      <c r="R452" s="3"/>
      <c r="S452" s="3"/>
      <c r="T452" s="1">
        <f t="shared" si="260"/>
        <v>100</v>
      </c>
      <c r="U452" s="1">
        <f t="shared" si="265"/>
        <v>100</v>
      </c>
      <c r="V452" s="1">
        <f t="shared" si="258"/>
        <v>0</v>
      </c>
      <c r="W452" s="1">
        <f t="shared" si="259"/>
        <v>100</v>
      </c>
      <c r="X452" s="41">
        <v>1000</v>
      </c>
      <c r="Y452" s="41">
        <f t="shared" si="269"/>
        <v>900</v>
      </c>
      <c r="Z452" s="1">
        <f t="shared" si="270"/>
        <v>1000</v>
      </c>
      <c r="AA452" s="1">
        <f>X452+Z452</f>
        <v>2000</v>
      </c>
      <c r="AB452" s="1">
        <f t="shared" si="271"/>
        <v>1000</v>
      </c>
      <c r="AC452" s="1">
        <f t="shared" si="272"/>
        <v>2000</v>
      </c>
      <c r="AD452" s="41">
        <v>1000</v>
      </c>
      <c r="AE452" s="1">
        <f t="shared" si="230"/>
        <v>-1000</v>
      </c>
      <c r="AF452" s="1">
        <f t="shared" si="231"/>
        <v>1000</v>
      </c>
    </row>
    <row r="453" spans="1:32">
      <c r="A453" s="11">
        <v>34000</v>
      </c>
      <c r="B453" s="11">
        <v>22000</v>
      </c>
      <c r="C453" s="11" t="s">
        <v>442</v>
      </c>
      <c r="D453" s="7">
        <v>2000</v>
      </c>
      <c r="E453" s="7"/>
      <c r="F453" s="7">
        <f t="shared" si="266"/>
        <v>2000</v>
      </c>
      <c r="G453" s="7"/>
      <c r="H453" s="7">
        <f t="shared" si="267"/>
        <v>2000</v>
      </c>
      <c r="I453" s="1"/>
      <c r="J453" s="1">
        <f t="shared" si="268"/>
        <v>2000</v>
      </c>
      <c r="K453" s="1"/>
      <c r="L453" s="1">
        <f t="shared" ref="L453:L458" si="273">H453+K453</f>
        <v>2000</v>
      </c>
      <c r="N453" s="1">
        <f t="shared" si="255"/>
        <v>2000</v>
      </c>
      <c r="O453" s="1"/>
      <c r="P453" s="3"/>
      <c r="Q453" s="1">
        <f t="shared" si="256"/>
        <v>2000</v>
      </c>
      <c r="R453" s="3"/>
      <c r="S453" s="3"/>
      <c r="T453" s="1">
        <f t="shared" si="260"/>
        <v>2000</v>
      </c>
      <c r="U453" s="1">
        <f t="shared" si="265"/>
        <v>2000</v>
      </c>
      <c r="V453" s="1">
        <f t="shared" si="258"/>
        <v>0</v>
      </c>
      <c r="W453" s="1">
        <f t="shared" si="259"/>
        <v>2000</v>
      </c>
      <c r="X453" s="41">
        <v>2000</v>
      </c>
      <c r="Y453" s="41">
        <f t="shared" si="269"/>
        <v>0</v>
      </c>
      <c r="Z453" s="1">
        <f t="shared" si="270"/>
        <v>2000</v>
      </c>
      <c r="AA453" s="41">
        <v>1000</v>
      </c>
      <c r="AB453" s="1">
        <f t="shared" si="271"/>
        <v>-1000</v>
      </c>
      <c r="AC453" s="1">
        <f t="shared" si="272"/>
        <v>1000</v>
      </c>
      <c r="AD453" s="41">
        <v>500</v>
      </c>
      <c r="AE453" s="1">
        <f t="shared" si="230"/>
        <v>-500</v>
      </c>
      <c r="AF453" s="1">
        <f t="shared" si="231"/>
        <v>500</v>
      </c>
    </row>
    <row r="454" spans="1:32">
      <c r="A454" s="11">
        <v>41000</v>
      </c>
      <c r="B454" s="11">
        <v>22000</v>
      </c>
      <c r="C454" s="11" t="s">
        <v>280</v>
      </c>
      <c r="D454" s="7">
        <v>400</v>
      </c>
      <c r="E454" s="7"/>
      <c r="F454" s="7">
        <f t="shared" si="266"/>
        <v>400</v>
      </c>
      <c r="G454" s="7"/>
      <c r="H454" s="7">
        <f t="shared" si="267"/>
        <v>400</v>
      </c>
      <c r="I454" s="1"/>
      <c r="J454" s="1">
        <f t="shared" si="268"/>
        <v>400</v>
      </c>
      <c r="K454" s="1"/>
      <c r="L454" s="1">
        <f t="shared" si="273"/>
        <v>400</v>
      </c>
      <c r="M454" s="8"/>
      <c r="N454" s="1">
        <f t="shared" si="255"/>
        <v>400</v>
      </c>
      <c r="O454" s="1"/>
      <c r="Q454" s="1">
        <f t="shared" si="256"/>
        <v>400</v>
      </c>
      <c r="T454" s="1">
        <f t="shared" si="260"/>
        <v>400</v>
      </c>
      <c r="U454" s="1">
        <v>100</v>
      </c>
      <c r="V454" s="1">
        <f t="shared" si="258"/>
        <v>-300</v>
      </c>
      <c r="W454" s="1">
        <f t="shared" si="259"/>
        <v>100</v>
      </c>
      <c r="X454" s="1">
        <v>0</v>
      </c>
      <c r="Y454" s="41">
        <f t="shared" si="269"/>
        <v>-100</v>
      </c>
      <c r="Z454" s="1">
        <f t="shared" si="270"/>
        <v>0</v>
      </c>
      <c r="AA454" s="1">
        <v>0</v>
      </c>
      <c r="AB454" s="1">
        <f t="shared" si="271"/>
        <v>0</v>
      </c>
      <c r="AC454" s="1">
        <f t="shared" si="272"/>
        <v>0</v>
      </c>
      <c r="AD454" s="41">
        <v>0</v>
      </c>
      <c r="AE454" s="1">
        <f t="shared" si="230"/>
        <v>0</v>
      </c>
      <c r="AF454" s="1">
        <f t="shared" si="231"/>
        <v>0</v>
      </c>
    </row>
    <row r="455" spans="1:32">
      <c r="A455" s="13">
        <v>43200</v>
      </c>
      <c r="B455" s="11">
        <v>22000</v>
      </c>
      <c r="C455" s="11" t="s">
        <v>516</v>
      </c>
      <c r="D455" s="7">
        <v>2412</v>
      </c>
      <c r="E455" s="7"/>
      <c r="F455" s="7">
        <f t="shared" si="266"/>
        <v>2412</v>
      </c>
      <c r="G455" s="7">
        <v>-1412</v>
      </c>
      <c r="H455" s="7">
        <f t="shared" si="267"/>
        <v>1000</v>
      </c>
      <c r="I455" s="1"/>
      <c r="J455" s="1">
        <f t="shared" si="268"/>
        <v>1000</v>
      </c>
      <c r="K455" s="1"/>
      <c r="L455" s="1">
        <f t="shared" si="273"/>
        <v>1000</v>
      </c>
      <c r="N455" s="1">
        <f t="shared" ref="N455:N473" si="274">L455+M455</f>
        <v>1000</v>
      </c>
      <c r="O455" s="1"/>
      <c r="Q455" s="1">
        <f t="shared" ref="Q455:Q473" si="275">N455+P455</f>
        <v>1000</v>
      </c>
      <c r="T455" s="1">
        <f t="shared" si="260"/>
        <v>1000</v>
      </c>
      <c r="U455" s="1">
        <f>R455+T455</f>
        <v>1000</v>
      </c>
      <c r="V455" s="1">
        <f t="shared" ref="V455:V473" si="276">U455-T455</f>
        <v>0</v>
      </c>
      <c r="W455" s="1">
        <f t="shared" ref="W455:W473" si="277">T455+V455</f>
        <v>1000</v>
      </c>
      <c r="X455" s="1">
        <v>1000</v>
      </c>
      <c r="Y455" s="41">
        <f t="shared" si="269"/>
        <v>0</v>
      </c>
      <c r="Z455" s="1">
        <f t="shared" si="270"/>
        <v>1000</v>
      </c>
      <c r="AA455" s="1">
        <v>3000</v>
      </c>
      <c r="AB455" s="41">
        <f t="shared" si="271"/>
        <v>2000</v>
      </c>
      <c r="AC455" s="1">
        <f t="shared" si="272"/>
        <v>3000</v>
      </c>
      <c r="AD455" s="41">
        <v>3000</v>
      </c>
      <c r="AE455" s="1">
        <f t="shared" ref="AE455:AE518" si="278">AD455-AC455</f>
        <v>0</v>
      </c>
      <c r="AF455" s="1">
        <f t="shared" ref="AF455:AF518" si="279">AC455+AE455</f>
        <v>3000</v>
      </c>
    </row>
    <row r="456" spans="1:32">
      <c r="A456" s="11">
        <v>45900</v>
      </c>
      <c r="B456" s="11">
        <v>22000</v>
      </c>
      <c r="C456" s="11" t="s">
        <v>172</v>
      </c>
      <c r="D456" s="7">
        <v>800</v>
      </c>
      <c r="E456" s="7"/>
      <c r="F456" s="7">
        <f t="shared" si="266"/>
        <v>800</v>
      </c>
      <c r="G456" s="7"/>
      <c r="H456" s="7">
        <f t="shared" si="267"/>
        <v>800</v>
      </c>
      <c r="I456" s="1"/>
      <c r="J456" s="1">
        <f t="shared" si="268"/>
        <v>800</v>
      </c>
      <c r="K456" s="1"/>
      <c r="L456" s="1">
        <f t="shared" si="273"/>
        <v>800</v>
      </c>
      <c r="N456" s="1">
        <f t="shared" si="274"/>
        <v>800</v>
      </c>
      <c r="O456" s="1"/>
      <c r="Q456" s="1">
        <f t="shared" si="275"/>
        <v>800</v>
      </c>
      <c r="T456" s="1">
        <f t="shared" si="260"/>
        <v>800</v>
      </c>
      <c r="U456" s="1">
        <f>R456+T456</f>
        <v>800</v>
      </c>
      <c r="V456" s="1">
        <f t="shared" si="276"/>
        <v>0</v>
      </c>
      <c r="W456" s="1">
        <f t="shared" si="277"/>
        <v>800</v>
      </c>
      <c r="X456" s="1">
        <v>100</v>
      </c>
      <c r="Y456" s="41">
        <f t="shared" si="269"/>
        <v>-700</v>
      </c>
      <c r="Z456" s="1">
        <f t="shared" si="270"/>
        <v>100</v>
      </c>
      <c r="AA456" s="1">
        <v>100</v>
      </c>
      <c r="AB456" s="1">
        <f t="shared" si="271"/>
        <v>0</v>
      </c>
      <c r="AC456" s="1">
        <f t="shared" si="272"/>
        <v>100</v>
      </c>
      <c r="AD456" s="41">
        <v>100</v>
      </c>
      <c r="AE456" s="1">
        <f t="shared" si="278"/>
        <v>0</v>
      </c>
      <c r="AF456" s="1">
        <f t="shared" si="279"/>
        <v>100</v>
      </c>
    </row>
    <row r="457" spans="1:32">
      <c r="A457" s="11">
        <v>49300</v>
      </c>
      <c r="B457" s="11">
        <v>22000</v>
      </c>
      <c r="C457" s="11" t="s">
        <v>280</v>
      </c>
      <c r="D457" s="7">
        <v>300.51</v>
      </c>
      <c r="E457" s="7"/>
      <c r="F457" s="7">
        <f t="shared" si="266"/>
        <v>300.51</v>
      </c>
      <c r="G457" s="7"/>
      <c r="H457" s="7">
        <f t="shared" si="267"/>
        <v>300.51</v>
      </c>
      <c r="I457" s="1"/>
      <c r="J457" s="1">
        <f t="shared" si="268"/>
        <v>300.51</v>
      </c>
      <c r="K457" s="1"/>
      <c r="L457" s="1">
        <f t="shared" si="273"/>
        <v>300.51</v>
      </c>
      <c r="M457" s="8"/>
      <c r="N457" s="1">
        <f t="shared" si="274"/>
        <v>300.51</v>
      </c>
      <c r="O457" s="1"/>
      <c r="Q457" s="1">
        <f t="shared" si="275"/>
        <v>300.51</v>
      </c>
      <c r="T457" s="1">
        <f t="shared" si="260"/>
        <v>300.51</v>
      </c>
      <c r="U457" s="1">
        <f>R457+T457</f>
        <v>300.51</v>
      </c>
      <c r="V457" s="1">
        <f t="shared" si="276"/>
        <v>0</v>
      </c>
      <c r="W457" s="1">
        <f t="shared" si="277"/>
        <v>300.51</v>
      </c>
      <c r="X457" s="1">
        <v>100</v>
      </c>
      <c r="Y457" s="41">
        <f t="shared" si="269"/>
        <v>-200.51</v>
      </c>
      <c r="Z457" s="1">
        <f t="shared" si="270"/>
        <v>100</v>
      </c>
      <c r="AA457" s="1">
        <v>100</v>
      </c>
      <c r="AB457" s="1">
        <f t="shared" si="271"/>
        <v>0</v>
      </c>
      <c r="AC457" s="1">
        <f t="shared" si="272"/>
        <v>100</v>
      </c>
      <c r="AD457" s="41">
        <v>100</v>
      </c>
      <c r="AE457" s="1">
        <f t="shared" si="278"/>
        <v>0</v>
      </c>
      <c r="AF457" s="1">
        <f t="shared" si="279"/>
        <v>100</v>
      </c>
    </row>
    <row r="458" spans="1:32">
      <c r="A458" s="11">
        <v>91200</v>
      </c>
      <c r="B458" s="11">
        <v>22000</v>
      </c>
      <c r="C458" s="11" t="s">
        <v>229</v>
      </c>
      <c r="D458" s="7">
        <v>2355.9699999999998</v>
      </c>
      <c r="E458" s="7"/>
      <c r="F458" s="7">
        <f t="shared" si="266"/>
        <v>2355.9699999999998</v>
      </c>
      <c r="G458" s="7"/>
      <c r="H458" s="7">
        <f t="shared" si="267"/>
        <v>2355.9699999999998</v>
      </c>
      <c r="I458" s="1"/>
      <c r="J458" s="1">
        <f t="shared" si="268"/>
        <v>2355.9699999999998</v>
      </c>
      <c r="K458" s="1"/>
      <c r="L458" s="1">
        <f t="shared" si="273"/>
        <v>2355.9699999999998</v>
      </c>
      <c r="N458" s="1">
        <f t="shared" si="274"/>
        <v>2355.9699999999998</v>
      </c>
      <c r="O458" s="1"/>
      <c r="P458" s="3"/>
      <c r="Q458" s="1">
        <f t="shared" si="275"/>
        <v>2355.9699999999998</v>
      </c>
      <c r="R458" s="3"/>
      <c r="S458" s="3"/>
      <c r="T458" s="1">
        <f t="shared" si="260"/>
        <v>2355.9699999999998</v>
      </c>
      <c r="U458" s="1">
        <f>R458+T458</f>
        <v>2355.9699999999998</v>
      </c>
      <c r="V458" s="1">
        <f t="shared" si="276"/>
        <v>0</v>
      </c>
      <c r="W458" s="1">
        <f t="shared" si="277"/>
        <v>2355.9699999999998</v>
      </c>
      <c r="X458" s="41">
        <v>500</v>
      </c>
      <c r="Y458" s="41">
        <f t="shared" si="269"/>
        <v>-1855.9699999999998</v>
      </c>
      <c r="Z458" s="1">
        <f t="shared" si="270"/>
        <v>500</v>
      </c>
      <c r="AA458" s="41">
        <v>500</v>
      </c>
      <c r="AB458" s="1">
        <f t="shared" si="271"/>
        <v>0</v>
      </c>
      <c r="AC458" s="1">
        <f t="shared" si="272"/>
        <v>500</v>
      </c>
      <c r="AD458" s="41">
        <v>100</v>
      </c>
      <c r="AE458" s="1">
        <f t="shared" si="278"/>
        <v>-400</v>
      </c>
      <c r="AF458" s="1">
        <f t="shared" si="279"/>
        <v>100</v>
      </c>
    </row>
    <row r="459" spans="1:32">
      <c r="A459" s="11">
        <v>91210</v>
      </c>
      <c r="B459" s="11">
        <v>22000</v>
      </c>
      <c r="C459" s="11" t="s">
        <v>530</v>
      </c>
      <c r="D459" s="7">
        <v>160</v>
      </c>
      <c r="E459" s="7"/>
      <c r="F459" s="7">
        <f t="shared" si="266"/>
        <v>160</v>
      </c>
      <c r="G459" s="7"/>
      <c r="H459" s="7">
        <f t="shared" si="267"/>
        <v>160</v>
      </c>
      <c r="I459" s="7"/>
      <c r="J459" s="7">
        <f t="shared" si="268"/>
        <v>160</v>
      </c>
      <c r="K459" s="7"/>
      <c r="L459" s="7">
        <v>160</v>
      </c>
      <c r="M459" s="7">
        <v>0</v>
      </c>
      <c r="N459" s="7">
        <f t="shared" si="274"/>
        <v>160</v>
      </c>
      <c r="O459" s="7"/>
      <c r="Q459" s="1">
        <f t="shared" si="275"/>
        <v>160</v>
      </c>
      <c r="T459" s="1">
        <f t="shared" si="260"/>
        <v>160</v>
      </c>
      <c r="U459" s="1">
        <f>R459+T459</f>
        <v>160</v>
      </c>
      <c r="V459" s="1">
        <f t="shared" si="276"/>
        <v>0</v>
      </c>
      <c r="W459" s="1">
        <f t="shared" si="277"/>
        <v>160</v>
      </c>
      <c r="X459" s="1">
        <v>100</v>
      </c>
      <c r="Y459" s="41">
        <f t="shared" si="269"/>
        <v>-60</v>
      </c>
      <c r="Z459" s="1">
        <f t="shared" si="270"/>
        <v>100</v>
      </c>
      <c r="AA459" s="1">
        <v>100</v>
      </c>
      <c r="AB459" s="1">
        <f t="shared" si="271"/>
        <v>0</v>
      </c>
      <c r="AC459" s="1">
        <f t="shared" si="272"/>
        <v>100</v>
      </c>
      <c r="AD459" s="41">
        <v>100</v>
      </c>
      <c r="AE459" s="1">
        <f t="shared" si="278"/>
        <v>0</v>
      </c>
      <c r="AF459" s="1">
        <f t="shared" si="279"/>
        <v>100</v>
      </c>
    </row>
    <row r="460" spans="1:32">
      <c r="A460" s="11">
        <v>92000</v>
      </c>
      <c r="B460" s="11">
        <v>22000</v>
      </c>
      <c r="C460" s="11" t="s">
        <v>246</v>
      </c>
      <c r="D460" s="7">
        <v>14135.8</v>
      </c>
      <c r="E460" s="7"/>
      <c r="F460" s="7">
        <f t="shared" si="266"/>
        <v>14135.8</v>
      </c>
      <c r="G460" s="7"/>
      <c r="H460" s="7">
        <f t="shared" si="267"/>
        <v>14135.8</v>
      </c>
      <c r="I460" s="1"/>
      <c r="J460" s="1">
        <f t="shared" si="268"/>
        <v>14135.8</v>
      </c>
      <c r="K460" s="1"/>
      <c r="L460" s="1">
        <f>H460+K460</f>
        <v>14135.8</v>
      </c>
      <c r="N460" s="1">
        <f t="shared" si="274"/>
        <v>14135.8</v>
      </c>
      <c r="O460" s="1"/>
      <c r="P460" s="3"/>
      <c r="Q460" s="1">
        <f t="shared" si="275"/>
        <v>14135.8</v>
      </c>
      <c r="R460" s="3"/>
      <c r="S460" s="3">
        <v>81.96</v>
      </c>
      <c r="T460" s="1">
        <f t="shared" si="260"/>
        <v>14217.759999999998</v>
      </c>
      <c r="U460" s="41">
        <v>15000</v>
      </c>
      <c r="V460" s="1">
        <f t="shared" si="276"/>
        <v>782.2400000000016</v>
      </c>
      <c r="W460" s="1">
        <f t="shared" si="277"/>
        <v>15000</v>
      </c>
      <c r="X460" s="41">
        <v>15000</v>
      </c>
      <c r="Y460" s="41">
        <f t="shared" si="269"/>
        <v>0</v>
      </c>
      <c r="Z460" s="1">
        <f t="shared" si="270"/>
        <v>15000</v>
      </c>
      <c r="AA460" s="41">
        <v>15000</v>
      </c>
      <c r="AB460" s="1">
        <f t="shared" si="271"/>
        <v>0</v>
      </c>
      <c r="AC460" s="1">
        <f t="shared" si="272"/>
        <v>15000</v>
      </c>
      <c r="AD460" s="41">
        <v>16000</v>
      </c>
      <c r="AE460" s="1">
        <f t="shared" si="278"/>
        <v>1000</v>
      </c>
      <c r="AF460" s="1">
        <f t="shared" si="279"/>
        <v>16000</v>
      </c>
    </row>
    <row r="461" spans="1:32">
      <c r="A461" s="11">
        <v>92010</v>
      </c>
      <c r="B461" s="11">
        <v>22000</v>
      </c>
      <c r="C461" s="11" t="s">
        <v>280</v>
      </c>
      <c r="D461" s="7">
        <v>1000</v>
      </c>
      <c r="E461" s="7"/>
      <c r="F461" s="7">
        <f t="shared" si="266"/>
        <v>1000</v>
      </c>
      <c r="G461" s="7"/>
      <c r="H461" s="7">
        <f t="shared" si="267"/>
        <v>1000</v>
      </c>
      <c r="I461" s="7"/>
      <c r="J461" s="7">
        <f t="shared" si="268"/>
        <v>1000</v>
      </c>
      <c r="K461" s="7"/>
      <c r="L461" s="7">
        <v>1000</v>
      </c>
      <c r="M461" s="7">
        <v>0</v>
      </c>
      <c r="N461" s="7">
        <f t="shared" si="274"/>
        <v>1000</v>
      </c>
      <c r="O461" s="7"/>
      <c r="Q461" s="1">
        <f t="shared" si="275"/>
        <v>1000</v>
      </c>
      <c r="T461" s="1">
        <f t="shared" si="260"/>
        <v>1000</v>
      </c>
      <c r="U461" s="1">
        <f>R461+T461</f>
        <v>1000</v>
      </c>
      <c r="V461" s="1">
        <f t="shared" si="276"/>
        <v>0</v>
      </c>
      <c r="W461" s="1">
        <f t="shared" si="277"/>
        <v>1000</v>
      </c>
      <c r="X461" s="1">
        <v>1000</v>
      </c>
      <c r="Y461" s="41">
        <f t="shared" si="269"/>
        <v>0</v>
      </c>
      <c r="Z461" s="1">
        <f t="shared" si="270"/>
        <v>1000</v>
      </c>
      <c r="AA461" s="1">
        <v>1000</v>
      </c>
      <c r="AB461" s="1">
        <f t="shared" si="271"/>
        <v>0</v>
      </c>
      <c r="AC461" s="1">
        <f t="shared" si="272"/>
        <v>1000</v>
      </c>
      <c r="AD461" s="41">
        <v>1000</v>
      </c>
      <c r="AE461" s="1">
        <f t="shared" si="278"/>
        <v>0</v>
      </c>
      <c r="AF461" s="1">
        <f t="shared" si="279"/>
        <v>1000</v>
      </c>
    </row>
    <row r="462" spans="1:32">
      <c r="A462" s="11">
        <v>92400</v>
      </c>
      <c r="B462" s="11">
        <v>22000</v>
      </c>
      <c r="C462" s="11" t="s">
        <v>280</v>
      </c>
      <c r="D462" s="7">
        <v>500</v>
      </c>
      <c r="E462" s="7"/>
      <c r="F462" s="7">
        <f t="shared" si="266"/>
        <v>500</v>
      </c>
      <c r="G462" s="7"/>
      <c r="H462" s="7">
        <f t="shared" si="267"/>
        <v>500</v>
      </c>
      <c r="I462" s="1"/>
      <c r="J462" s="1">
        <f t="shared" si="268"/>
        <v>500</v>
      </c>
      <c r="K462" s="1"/>
      <c r="L462" s="1">
        <f t="shared" ref="L462:L468" si="280">H462+K462</f>
        <v>500</v>
      </c>
      <c r="N462" s="1">
        <f t="shared" si="274"/>
        <v>500</v>
      </c>
      <c r="O462" s="1"/>
      <c r="Q462" s="1">
        <f t="shared" si="275"/>
        <v>500</v>
      </c>
      <c r="T462" s="1">
        <f t="shared" si="260"/>
        <v>500</v>
      </c>
      <c r="U462" s="1">
        <f>R462+T462</f>
        <v>500</v>
      </c>
      <c r="V462" s="1">
        <f t="shared" si="276"/>
        <v>0</v>
      </c>
      <c r="W462" s="1">
        <f t="shared" si="277"/>
        <v>500</v>
      </c>
      <c r="X462" s="1">
        <v>500</v>
      </c>
      <c r="Y462" s="41">
        <f t="shared" si="269"/>
        <v>0</v>
      </c>
      <c r="Z462" s="1">
        <f t="shared" si="270"/>
        <v>500</v>
      </c>
      <c r="AA462" s="1">
        <v>500</v>
      </c>
      <c r="AB462" s="1">
        <f t="shared" si="271"/>
        <v>0</v>
      </c>
      <c r="AC462" s="1">
        <f t="shared" si="272"/>
        <v>500</v>
      </c>
      <c r="AD462" s="41">
        <v>100</v>
      </c>
      <c r="AE462" s="1">
        <f t="shared" si="278"/>
        <v>-400</v>
      </c>
      <c r="AF462" s="1">
        <f t="shared" si="279"/>
        <v>100</v>
      </c>
    </row>
    <row r="463" spans="1:32">
      <c r="A463" s="11">
        <v>92900</v>
      </c>
      <c r="B463" s="11">
        <v>22000</v>
      </c>
      <c r="C463" s="11" t="s">
        <v>271</v>
      </c>
      <c r="D463" s="7">
        <v>1000</v>
      </c>
      <c r="E463" s="7"/>
      <c r="F463" s="7">
        <f t="shared" si="266"/>
        <v>1000</v>
      </c>
      <c r="G463" s="7"/>
      <c r="H463" s="7">
        <f t="shared" si="267"/>
        <v>1000</v>
      </c>
      <c r="I463" s="1"/>
      <c r="J463" s="1">
        <f t="shared" si="268"/>
        <v>1000</v>
      </c>
      <c r="K463" s="1"/>
      <c r="L463" s="1">
        <f t="shared" si="280"/>
        <v>1000</v>
      </c>
      <c r="N463" s="1">
        <f t="shared" si="274"/>
        <v>1000</v>
      </c>
      <c r="O463" s="1"/>
      <c r="Q463" s="1">
        <f t="shared" si="275"/>
        <v>1000</v>
      </c>
      <c r="T463" s="1">
        <f t="shared" si="260"/>
        <v>1000</v>
      </c>
      <c r="U463" s="1">
        <f>R463+T463</f>
        <v>1000</v>
      </c>
      <c r="V463" s="1">
        <f t="shared" si="276"/>
        <v>0</v>
      </c>
      <c r="W463" s="1">
        <f t="shared" si="277"/>
        <v>1000</v>
      </c>
      <c r="X463" s="1">
        <v>1000</v>
      </c>
      <c r="Y463" s="41">
        <f t="shared" si="269"/>
        <v>0</v>
      </c>
      <c r="Z463" s="1">
        <f t="shared" si="270"/>
        <v>1000</v>
      </c>
      <c r="AA463" s="1">
        <v>1000</v>
      </c>
      <c r="AB463" s="1">
        <f t="shared" si="271"/>
        <v>0</v>
      </c>
      <c r="AC463" s="1">
        <f t="shared" si="272"/>
        <v>1000</v>
      </c>
      <c r="AD463" s="41">
        <v>1000</v>
      </c>
      <c r="AE463" s="1">
        <f t="shared" si="278"/>
        <v>0</v>
      </c>
      <c r="AF463" s="1">
        <f t="shared" si="279"/>
        <v>1000</v>
      </c>
    </row>
    <row r="464" spans="1:32">
      <c r="A464" s="11">
        <v>93100</v>
      </c>
      <c r="B464" s="11">
        <v>22000</v>
      </c>
      <c r="C464" s="11" t="s">
        <v>498</v>
      </c>
      <c r="D464" s="7">
        <v>9616.19</v>
      </c>
      <c r="E464" s="7"/>
      <c r="F464" s="7">
        <f t="shared" si="266"/>
        <v>9616.19</v>
      </c>
      <c r="G464" s="7">
        <v>-616.19000000000005</v>
      </c>
      <c r="H464" s="7">
        <f t="shared" si="267"/>
        <v>9000</v>
      </c>
      <c r="I464" s="1"/>
      <c r="J464" s="1">
        <f t="shared" si="268"/>
        <v>9000</v>
      </c>
      <c r="K464" s="1"/>
      <c r="L464" s="1">
        <f t="shared" si="280"/>
        <v>9000</v>
      </c>
      <c r="N464" s="1">
        <f t="shared" si="274"/>
        <v>9000</v>
      </c>
      <c r="O464" s="1"/>
      <c r="Q464" s="1">
        <f t="shared" si="275"/>
        <v>9000</v>
      </c>
      <c r="S464" s="1">
        <v>2000</v>
      </c>
      <c r="T464" s="1">
        <f t="shared" si="260"/>
        <v>11000</v>
      </c>
      <c r="U464" s="1">
        <v>11000</v>
      </c>
      <c r="V464" s="1">
        <f t="shared" si="276"/>
        <v>0</v>
      </c>
      <c r="W464" s="1">
        <f t="shared" si="277"/>
        <v>11000</v>
      </c>
      <c r="X464" s="1">
        <v>10000</v>
      </c>
      <c r="Y464" s="41">
        <f t="shared" si="269"/>
        <v>-1000</v>
      </c>
      <c r="Z464" s="1">
        <f t="shared" si="270"/>
        <v>10000</v>
      </c>
      <c r="AA464" s="1">
        <v>10000</v>
      </c>
      <c r="AB464" s="1">
        <f t="shared" si="271"/>
        <v>0</v>
      </c>
      <c r="AC464" s="1">
        <f t="shared" si="272"/>
        <v>10000</v>
      </c>
      <c r="AD464" s="41">
        <v>6000</v>
      </c>
      <c r="AE464" s="1">
        <f t="shared" si="278"/>
        <v>-4000</v>
      </c>
      <c r="AF464" s="1">
        <f t="shared" si="279"/>
        <v>6000</v>
      </c>
    </row>
    <row r="465" spans="1:32">
      <c r="A465" s="11">
        <v>13000</v>
      </c>
      <c r="B465" s="11">
        <v>22001</v>
      </c>
      <c r="C465" s="11" t="s">
        <v>272</v>
      </c>
      <c r="D465" s="7">
        <v>2591.5700000000002</v>
      </c>
      <c r="E465" s="7"/>
      <c r="F465" s="7">
        <f t="shared" si="266"/>
        <v>2591.5700000000002</v>
      </c>
      <c r="G465" s="7"/>
      <c r="H465" s="7">
        <f t="shared" si="267"/>
        <v>2591.5700000000002</v>
      </c>
      <c r="I465" s="1"/>
      <c r="J465" s="1">
        <f t="shared" si="268"/>
        <v>2591.5700000000002</v>
      </c>
      <c r="K465" s="1"/>
      <c r="L465" s="1">
        <f t="shared" si="280"/>
        <v>2591.5700000000002</v>
      </c>
      <c r="N465" s="1">
        <f t="shared" si="274"/>
        <v>2591.5700000000002</v>
      </c>
      <c r="O465" s="1"/>
      <c r="Q465" s="1">
        <f t="shared" si="275"/>
        <v>2591.5700000000002</v>
      </c>
      <c r="T465" s="1">
        <f t="shared" si="260"/>
        <v>2591.5700000000002</v>
      </c>
      <c r="U465" s="1">
        <v>2600</v>
      </c>
      <c r="V465" s="1">
        <f t="shared" si="276"/>
        <v>8.4299999999998363</v>
      </c>
      <c r="W465" s="1">
        <f t="shared" si="277"/>
        <v>2600</v>
      </c>
      <c r="X465" s="1">
        <v>2600</v>
      </c>
      <c r="Y465" s="41">
        <f t="shared" si="269"/>
        <v>0</v>
      </c>
      <c r="Z465" s="1">
        <f t="shared" si="270"/>
        <v>2600</v>
      </c>
      <c r="AA465" s="1">
        <v>1500</v>
      </c>
      <c r="AB465" s="1">
        <f t="shared" si="271"/>
        <v>-1100</v>
      </c>
      <c r="AC465" s="1">
        <f t="shared" si="272"/>
        <v>1500</v>
      </c>
      <c r="AD465" s="41">
        <v>1000</v>
      </c>
      <c r="AE465" s="1">
        <f t="shared" si="278"/>
        <v>-500</v>
      </c>
      <c r="AF465" s="1">
        <f t="shared" si="279"/>
        <v>1000</v>
      </c>
    </row>
    <row r="466" spans="1:32">
      <c r="A466" s="11">
        <v>13200</v>
      </c>
      <c r="B466" s="11">
        <v>22001</v>
      </c>
      <c r="C466" s="11" t="s">
        <v>304</v>
      </c>
      <c r="D466" s="7">
        <v>353.39</v>
      </c>
      <c r="E466" s="7">
        <v>500</v>
      </c>
      <c r="F466" s="7">
        <f t="shared" si="266"/>
        <v>-146.61000000000001</v>
      </c>
      <c r="G466" s="7">
        <v>146.61000000000001</v>
      </c>
      <c r="H466" s="7">
        <f t="shared" si="267"/>
        <v>500</v>
      </c>
      <c r="I466" s="1"/>
      <c r="J466" s="1">
        <f t="shared" si="268"/>
        <v>500</v>
      </c>
      <c r="K466" s="1"/>
      <c r="L466" s="1">
        <f t="shared" si="280"/>
        <v>500</v>
      </c>
      <c r="N466" s="1">
        <f t="shared" si="274"/>
        <v>500</v>
      </c>
      <c r="O466" s="1"/>
      <c r="Q466" s="1">
        <f t="shared" si="275"/>
        <v>500</v>
      </c>
      <c r="T466" s="1">
        <f t="shared" si="260"/>
        <v>500</v>
      </c>
      <c r="U466" s="1">
        <f t="shared" ref="U466:U471" si="281">R466+T466</f>
        <v>500</v>
      </c>
      <c r="V466" s="1">
        <f t="shared" si="276"/>
        <v>0</v>
      </c>
      <c r="W466" s="1">
        <f t="shared" si="277"/>
        <v>500</v>
      </c>
      <c r="X466" s="1">
        <v>500</v>
      </c>
      <c r="Y466" s="41">
        <f t="shared" si="269"/>
        <v>0</v>
      </c>
      <c r="Z466" s="1">
        <f t="shared" si="270"/>
        <v>500</v>
      </c>
      <c r="AA466" s="1">
        <v>500</v>
      </c>
      <c r="AB466" s="1">
        <f t="shared" si="271"/>
        <v>0</v>
      </c>
      <c r="AC466" s="1">
        <f t="shared" si="272"/>
        <v>500</v>
      </c>
      <c r="AD466" s="41">
        <v>3000</v>
      </c>
      <c r="AE466" s="1">
        <f t="shared" si="278"/>
        <v>2500</v>
      </c>
      <c r="AF466" s="1">
        <f t="shared" si="279"/>
        <v>3000</v>
      </c>
    </row>
    <row r="467" spans="1:32">
      <c r="A467" s="13">
        <v>13500</v>
      </c>
      <c r="B467" s="11">
        <v>22001</v>
      </c>
      <c r="C467" s="11" t="s">
        <v>311</v>
      </c>
      <c r="D467" s="7">
        <v>800</v>
      </c>
      <c r="E467" s="7"/>
      <c r="F467" s="7">
        <f t="shared" si="266"/>
        <v>800</v>
      </c>
      <c r="G467" s="7"/>
      <c r="H467" s="7">
        <f t="shared" si="267"/>
        <v>800</v>
      </c>
      <c r="I467" s="1"/>
      <c r="J467" s="1">
        <f t="shared" si="268"/>
        <v>800</v>
      </c>
      <c r="K467" s="1"/>
      <c r="L467" s="1">
        <f t="shared" si="280"/>
        <v>800</v>
      </c>
      <c r="N467" s="1">
        <f t="shared" si="274"/>
        <v>800</v>
      </c>
      <c r="O467" s="1"/>
      <c r="Q467" s="1">
        <f t="shared" si="275"/>
        <v>800</v>
      </c>
      <c r="T467" s="1">
        <f t="shared" si="260"/>
        <v>800</v>
      </c>
      <c r="U467" s="1">
        <f t="shared" si="281"/>
        <v>800</v>
      </c>
      <c r="V467" s="1">
        <f t="shared" si="276"/>
        <v>0</v>
      </c>
      <c r="W467" s="1">
        <f t="shared" si="277"/>
        <v>800</v>
      </c>
      <c r="X467" s="1">
        <v>300</v>
      </c>
      <c r="Y467" s="41">
        <f t="shared" si="269"/>
        <v>-500</v>
      </c>
      <c r="Z467" s="1">
        <f t="shared" si="270"/>
        <v>300</v>
      </c>
      <c r="AA467" s="1">
        <v>300</v>
      </c>
      <c r="AB467" s="41">
        <f t="shared" si="271"/>
        <v>0</v>
      </c>
      <c r="AC467" s="1">
        <f t="shared" si="272"/>
        <v>300</v>
      </c>
      <c r="AD467" s="41">
        <v>300</v>
      </c>
      <c r="AE467" s="1">
        <f t="shared" si="278"/>
        <v>0</v>
      </c>
      <c r="AF467" s="1">
        <f t="shared" si="279"/>
        <v>300</v>
      </c>
    </row>
    <row r="468" spans="1:32">
      <c r="A468" s="11">
        <v>15100</v>
      </c>
      <c r="B468" s="11">
        <v>22001</v>
      </c>
      <c r="C468" s="11" t="s">
        <v>907</v>
      </c>
      <c r="D468" s="7">
        <v>1502.53</v>
      </c>
      <c r="E468" s="7"/>
      <c r="F468" s="7">
        <f t="shared" si="266"/>
        <v>1502.53</v>
      </c>
      <c r="G468" s="7">
        <v>-502.53</v>
      </c>
      <c r="H468" s="7">
        <f t="shared" si="267"/>
        <v>1000</v>
      </c>
      <c r="I468" s="1"/>
      <c r="J468" s="1">
        <f t="shared" si="268"/>
        <v>1000</v>
      </c>
      <c r="K468" s="1"/>
      <c r="L468" s="1">
        <f t="shared" si="280"/>
        <v>1000</v>
      </c>
      <c r="N468" s="1">
        <f t="shared" si="274"/>
        <v>1000</v>
      </c>
      <c r="O468" s="1"/>
      <c r="Q468" s="1">
        <f t="shared" si="275"/>
        <v>1000</v>
      </c>
      <c r="T468" s="1">
        <f t="shared" si="260"/>
        <v>1000</v>
      </c>
      <c r="U468" s="1">
        <f t="shared" si="281"/>
        <v>1000</v>
      </c>
      <c r="V468" s="1">
        <f t="shared" si="276"/>
        <v>0</v>
      </c>
      <c r="W468" s="1">
        <f t="shared" si="277"/>
        <v>1000</v>
      </c>
      <c r="X468" s="1">
        <v>1000</v>
      </c>
      <c r="Y468" s="41">
        <f t="shared" si="269"/>
        <v>0</v>
      </c>
      <c r="Z468" s="1">
        <f t="shared" si="270"/>
        <v>1000</v>
      </c>
      <c r="AA468" s="1">
        <v>1300</v>
      </c>
      <c r="AB468" s="1">
        <f t="shared" si="271"/>
        <v>300</v>
      </c>
      <c r="AC468" s="1">
        <f t="shared" si="272"/>
        <v>1300</v>
      </c>
      <c r="AD468" s="41">
        <v>1000</v>
      </c>
      <c r="AE468" s="1">
        <f t="shared" si="278"/>
        <v>-300</v>
      </c>
      <c r="AF468" s="1">
        <f t="shared" si="279"/>
        <v>1000</v>
      </c>
    </row>
    <row r="469" spans="1:32">
      <c r="A469" s="13">
        <v>23110</v>
      </c>
      <c r="B469" s="11">
        <v>22001</v>
      </c>
      <c r="C469" s="11" t="s">
        <v>324</v>
      </c>
      <c r="D469" s="8"/>
      <c r="E469" s="8"/>
      <c r="F469" s="8"/>
      <c r="G469" s="8"/>
      <c r="H469" s="8"/>
      <c r="I469" s="8"/>
      <c r="J469" s="8"/>
      <c r="K469" s="8"/>
      <c r="L469" s="10">
        <v>3000</v>
      </c>
      <c r="M469" s="10">
        <v>0</v>
      </c>
      <c r="N469" s="7">
        <f t="shared" si="274"/>
        <v>3000</v>
      </c>
      <c r="O469" s="7"/>
      <c r="P469" s="3"/>
      <c r="Q469" s="1">
        <f t="shared" si="275"/>
        <v>3000</v>
      </c>
      <c r="R469" s="3"/>
      <c r="S469" s="3"/>
      <c r="T469" s="1">
        <f t="shared" si="260"/>
        <v>3000</v>
      </c>
      <c r="U469" s="1">
        <f t="shared" si="281"/>
        <v>3000</v>
      </c>
      <c r="V469" s="1">
        <f t="shared" si="276"/>
        <v>0</v>
      </c>
      <c r="W469" s="1">
        <f t="shared" si="277"/>
        <v>3000</v>
      </c>
      <c r="X469" s="41">
        <v>0</v>
      </c>
      <c r="Y469" s="41">
        <f t="shared" si="269"/>
        <v>-3000</v>
      </c>
      <c r="Z469" s="1">
        <f t="shared" si="270"/>
        <v>0</v>
      </c>
      <c r="AA469" s="41">
        <v>0</v>
      </c>
      <c r="AB469" s="41">
        <f t="shared" si="271"/>
        <v>0</v>
      </c>
      <c r="AC469" s="1">
        <f t="shared" si="272"/>
        <v>0</v>
      </c>
      <c r="AD469" s="41">
        <v>0</v>
      </c>
      <c r="AE469" s="1">
        <f t="shared" si="278"/>
        <v>0</v>
      </c>
      <c r="AF469" s="1">
        <f t="shared" si="279"/>
        <v>0</v>
      </c>
    </row>
    <row r="470" spans="1:32">
      <c r="A470" s="11">
        <v>23112</v>
      </c>
      <c r="B470" s="11">
        <v>22001</v>
      </c>
      <c r="C470" s="42" t="s">
        <v>384</v>
      </c>
      <c r="D470" s="7">
        <v>2400</v>
      </c>
      <c r="E470" s="7"/>
      <c r="F470" s="7">
        <f>D470-E470</f>
        <v>2400</v>
      </c>
      <c r="G470" s="7"/>
      <c r="H470" s="7">
        <f>D470+G470</f>
        <v>2400</v>
      </c>
      <c r="I470" s="1"/>
      <c r="J470" s="1">
        <f>H470-I470</f>
        <v>2400</v>
      </c>
      <c r="K470" s="1"/>
      <c r="L470" s="1">
        <f>H470+K470</f>
        <v>2400</v>
      </c>
      <c r="N470" s="1">
        <f t="shared" si="274"/>
        <v>2400</v>
      </c>
      <c r="O470" s="1"/>
      <c r="Q470" s="1">
        <f t="shared" si="275"/>
        <v>2400</v>
      </c>
      <c r="T470" s="1">
        <f t="shared" si="260"/>
        <v>2400</v>
      </c>
      <c r="U470" s="1">
        <f t="shared" si="281"/>
        <v>2400</v>
      </c>
      <c r="V470" s="1">
        <f t="shared" si="276"/>
        <v>0</v>
      </c>
      <c r="W470" s="1">
        <f t="shared" si="277"/>
        <v>2400</v>
      </c>
      <c r="X470" s="1">
        <v>1000</v>
      </c>
      <c r="Y470" s="41">
        <f t="shared" si="269"/>
        <v>-1400</v>
      </c>
      <c r="Z470" s="1">
        <f t="shared" si="270"/>
        <v>1000</v>
      </c>
      <c r="AA470" s="1">
        <v>6000</v>
      </c>
      <c r="AB470" s="1">
        <f t="shared" si="271"/>
        <v>5000</v>
      </c>
      <c r="AC470" s="1">
        <f t="shared" si="272"/>
        <v>6000</v>
      </c>
      <c r="AD470" s="41">
        <v>6000</v>
      </c>
      <c r="AE470" s="1">
        <f t="shared" si="278"/>
        <v>0</v>
      </c>
      <c r="AF470" s="1">
        <f t="shared" si="279"/>
        <v>6000</v>
      </c>
    </row>
    <row r="471" spans="1:32">
      <c r="A471" s="42">
        <v>23113</v>
      </c>
      <c r="B471" s="11">
        <v>22001</v>
      </c>
      <c r="C471" s="11" t="s">
        <v>349</v>
      </c>
      <c r="D471" s="7">
        <v>2300</v>
      </c>
      <c r="E471" s="7">
        <v>1296.81</v>
      </c>
      <c r="F471" s="7">
        <f>D471-E471</f>
        <v>1003.19</v>
      </c>
      <c r="G471" s="7">
        <v>-1003.19</v>
      </c>
      <c r="H471" s="7">
        <f>D471+G471</f>
        <v>1296.81</v>
      </c>
      <c r="I471" s="7"/>
      <c r="J471" s="7">
        <f>H471-I471</f>
        <v>1296.81</v>
      </c>
      <c r="K471" s="7"/>
      <c r="L471" s="7">
        <v>1296.81</v>
      </c>
      <c r="M471" s="7">
        <v>0</v>
      </c>
      <c r="N471" s="7">
        <f t="shared" si="274"/>
        <v>1296.81</v>
      </c>
      <c r="O471" s="7"/>
      <c r="P471" s="3"/>
      <c r="Q471" s="1">
        <f t="shared" si="275"/>
        <v>1296.81</v>
      </c>
      <c r="R471" s="3"/>
      <c r="S471" s="3"/>
      <c r="T471" s="1">
        <f t="shared" si="260"/>
        <v>1296.81</v>
      </c>
      <c r="U471" s="1">
        <f t="shared" si="281"/>
        <v>1296.81</v>
      </c>
      <c r="V471" s="1">
        <f t="shared" si="276"/>
        <v>0</v>
      </c>
      <c r="W471" s="1">
        <f t="shared" si="277"/>
        <v>1296.81</v>
      </c>
      <c r="X471" s="41">
        <v>0</v>
      </c>
      <c r="Y471" s="41">
        <f t="shared" si="269"/>
        <v>-1296.81</v>
      </c>
      <c r="Z471" s="1">
        <f t="shared" si="270"/>
        <v>0</v>
      </c>
      <c r="AA471" s="41">
        <v>1100</v>
      </c>
      <c r="AB471" s="41">
        <f t="shared" si="271"/>
        <v>1100</v>
      </c>
      <c r="AC471" s="1">
        <f t="shared" si="272"/>
        <v>1100</v>
      </c>
      <c r="AD471" s="41">
        <v>1100</v>
      </c>
      <c r="AE471" s="1">
        <f t="shared" si="278"/>
        <v>0</v>
      </c>
      <c r="AF471" s="1">
        <f t="shared" si="279"/>
        <v>1100</v>
      </c>
    </row>
    <row r="472" spans="1:32">
      <c r="A472" s="11">
        <v>33220</v>
      </c>
      <c r="B472" s="11">
        <v>22001</v>
      </c>
      <c r="C472" s="11" t="s">
        <v>471</v>
      </c>
      <c r="D472" s="7">
        <v>40000</v>
      </c>
      <c r="E472" s="7"/>
      <c r="F472" s="7">
        <f>D472-E472</f>
        <v>40000</v>
      </c>
      <c r="G472" s="7"/>
      <c r="H472" s="7">
        <f>D472+G472</f>
        <v>40000</v>
      </c>
      <c r="I472" s="1"/>
      <c r="J472" s="1">
        <f>H472-I472</f>
        <v>40000</v>
      </c>
      <c r="K472" s="1"/>
      <c r="L472" s="1">
        <f>H472+K472</f>
        <v>40000</v>
      </c>
      <c r="M472" s="10">
        <v>-20000</v>
      </c>
      <c r="N472" s="1">
        <f t="shared" si="274"/>
        <v>20000</v>
      </c>
      <c r="O472" s="1"/>
      <c r="Q472" s="1">
        <f t="shared" si="275"/>
        <v>20000</v>
      </c>
      <c r="T472" s="1">
        <f t="shared" si="260"/>
        <v>20000</v>
      </c>
      <c r="U472" s="1">
        <v>25000</v>
      </c>
      <c r="V472" s="1">
        <f t="shared" si="276"/>
        <v>5000</v>
      </c>
      <c r="W472" s="1">
        <f t="shared" si="277"/>
        <v>25000</v>
      </c>
      <c r="X472" s="1">
        <v>30000</v>
      </c>
      <c r="Y472" s="41">
        <f t="shared" si="269"/>
        <v>5000</v>
      </c>
      <c r="Z472" s="1">
        <f t="shared" si="270"/>
        <v>30000</v>
      </c>
      <c r="AA472" s="1">
        <v>35000</v>
      </c>
      <c r="AB472" s="41">
        <f t="shared" si="271"/>
        <v>5000</v>
      </c>
      <c r="AC472" s="1">
        <f t="shared" si="272"/>
        <v>35000</v>
      </c>
      <c r="AD472" s="41">
        <v>35000</v>
      </c>
      <c r="AE472" s="1">
        <f t="shared" si="278"/>
        <v>0</v>
      </c>
      <c r="AF472" s="1">
        <f t="shared" si="279"/>
        <v>35000</v>
      </c>
    </row>
    <row r="473" spans="1:32">
      <c r="A473" s="11">
        <v>33400</v>
      </c>
      <c r="B473" s="11">
        <v>22001</v>
      </c>
      <c r="C473" s="11" t="s">
        <v>424</v>
      </c>
      <c r="D473" s="7">
        <v>2400</v>
      </c>
      <c r="E473" s="7"/>
      <c r="F473" s="7">
        <f>D473-E473</f>
        <v>2400</v>
      </c>
      <c r="G473" s="7"/>
      <c r="H473" s="7">
        <f>D473+G473</f>
        <v>2400</v>
      </c>
      <c r="I473" s="1"/>
      <c r="J473" s="1">
        <f>H473-I473</f>
        <v>2400</v>
      </c>
      <c r="K473" s="1"/>
      <c r="L473" s="1">
        <f>H473+K473</f>
        <v>2400</v>
      </c>
      <c r="N473" s="1">
        <f t="shared" si="274"/>
        <v>2400</v>
      </c>
      <c r="O473" s="1"/>
      <c r="Q473" s="1">
        <f t="shared" si="275"/>
        <v>2400</v>
      </c>
      <c r="T473" s="1">
        <f t="shared" si="260"/>
        <v>2400</v>
      </c>
      <c r="U473" s="1">
        <f>R473+T473</f>
        <v>2400</v>
      </c>
      <c r="V473" s="1">
        <f t="shared" si="276"/>
        <v>0</v>
      </c>
      <c r="W473" s="1">
        <f t="shared" si="277"/>
        <v>2400</v>
      </c>
      <c r="X473" s="1">
        <v>0</v>
      </c>
      <c r="Y473" s="41">
        <f t="shared" si="269"/>
        <v>-2400</v>
      </c>
      <c r="Z473" s="1">
        <f t="shared" si="270"/>
        <v>0</v>
      </c>
      <c r="AA473" s="1">
        <v>3000</v>
      </c>
      <c r="AB473" s="1">
        <f t="shared" si="271"/>
        <v>3000</v>
      </c>
      <c r="AC473" s="1">
        <f t="shared" si="272"/>
        <v>3000</v>
      </c>
      <c r="AD473" s="41">
        <v>3100</v>
      </c>
      <c r="AE473" s="1">
        <f t="shared" si="278"/>
        <v>100</v>
      </c>
      <c r="AF473" s="1">
        <f t="shared" si="279"/>
        <v>3100</v>
      </c>
    </row>
    <row r="474" spans="1:32">
      <c r="A474" s="11">
        <v>33600</v>
      </c>
      <c r="B474" s="11">
        <v>22001</v>
      </c>
      <c r="C474" s="39" t="s">
        <v>813</v>
      </c>
      <c r="D474" s="7"/>
      <c r="E474" s="7"/>
      <c r="F474" s="7"/>
      <c r="G474" s="7"/>
      <c r="H474" s="7"/>
      <c r="I474" s="1"/>
      <c r="J474" s="1"/>
      <c r="K474" s="1"/>
      <c r="L474" s="1"/>
      <c r="N474" s="1"/>
      <c r="O474" s="1"/>
      <c r="T474" s="1"/>
      <c r="V474" s="1"/>
      <c r="W474" s="1">
        <v>0</v>
      </c>
      <c r="X474" s="1">
        <v>3000</v>
      </c>
      <c r="Y474" s="41">
        <f t="shared" si="269"/>
        <v>3000</v>
      </c>
      <c r="Z474" s="1">
        <f t="shared" si="270"/>
        <v>3000</v>
      </c>
      <c r="AA474" s="1">
        <f>12000+3000+3000</f>
        <v>18000</v>
      </c>
      <c r="AB474" s="1">
        <f t="shared" si="271"/>
        <v>15000</v>
      </c>
      <c r="AC474" s="1">
        <f t="shared" si="272"/>
        <v>18000</v>
      </c>
      <c r="AD474" s="41">
        <v>5000</v>
      </c>
      <c r="AE474" s="1">
        <f t="shared" si="278"/>
        <v>-13000</v>
      </c>
      <c r="AF474" s="1">
        <f t="shared" si="279"/>
        <v>5000</v>
      </c>
    </row>
    <row r="475" spans="1:32">
      <c r="A475" s="11">
        <v>33700</v>
      </c>
      <c r="B475" s="11">
        <v>22001</v>
      </c>
      <c r="C475" s="11" t="s">
        <v>489</v>
      </c>
      <c r="D475" s="7">
        <v>28000</v>
      </c>
      <c r="E475" s="7"/>
      <c r="F475" s="7">
        <f t="shared" ref="F475:F484" si="282">D475-E475</f>
        <v>28000</v>
      </c>
      <c r="G475" s="7">
        <v>-3000</v>
      </c>
      <c r="H475" s="7">
        <f t="shared" ref="H475:H484" si="283">D475+G475</f>
        <v>25000</v>
      </c>
      <c r="I475" s="1"/>
      <c r="J475" s="1">
        <f t="shared" ref="J475:J484" si="284">H475-I475</f>
        <v>25000</v>
      </c>
      <c r="K475" s="1"/>
      <c r="L475" s="1">
        <f t="shared" ref="L475:L481" si="285">H475+K475</f>
        <v>25000</v>
      </c>
      <c r="M475" s="7">
        <v>-15000</v>
      </c>
      <c r="N475" s="1">
        <f t="shared" ref="N475:N484" si="286">L475+M475</f>
        <v>10000</v>
      </c>
      <c r="O475" s="1"/>
      <c r="Q475" s="1">
        <f t="shared" ref="Q475:Q484" si="287">N475+P475</f>
        <v>10000</v>
      </c>
      <c r="S475" s="1">
        <v>-9000</v>
      </c>
      <c r="T475" s="1">
        <f>Q475+S475</f>
        <v>1000</v>
      </c>
      <c r="U475" s="1">
        <f>R475+T475</f>
        <v>1000</v>
      </c>
      <c r="V475" s="1">
        <f t="shared" ref="V475:V484" si="288">U475-T475</f>
        <v>0</v>
      </c>
      <c r="W475" s="1">
        <f t="shared" ref="W475:W484" si="289">T475+V475</f>
        <v>1000</v>
      </c>
      <c r="X475" s="1">
        <v>0</v>
      </c>
      <c r="Y475" s="41">
        <f t="shared" si="269"/>
        <v>-1000</v>
      </c>
      <c r="Z475" s="1">
        <f t="shared" si="270"/>
        <v>0</v>
      </c>
      <c r="AA475" s="1">
        <v>2000</v>
      </c>
      <c r="AB475" s="1">
        <f t="shared" si="271"/>
        <v>2000</v>
      </c>
      <c r="AC475" s="1">
        <f t="shared" si="272"/>
        <v>2000</v>
      </c>
      <c r="AD475" s="41">
        <v>1500</v>
      </c>
      <c r="AE475" s="1">
        <f t="shared" si="278"/>
        <v>-500</v>
      </c>
      <c r="AF475" s="1">
        <f t="shared" si="279"/>
        <v>1500</v>
      </c>
    </row>
    <row r="476" spans="1:32">
      <c r="A476" s="11">
        <v>34000</v>
      </c>
      <c r="B476" s="11">
        <v>22001</v>
      </c>
      <c r="C476" s="11" t="s">
        <v>443</v>
      </c>
      <c r="D476" s="7">
        <v>2320</v>
      </c>
      <c r="E476" s="7"/>
      <c r="F476" s="7">
        <f t="shared" si="282"/>
        <v>2320</v>
      </c>
      <c r="G476" s="7"/>
      <c r="H476" s="7">
        <f t="shared" si="283"/>
        <v>2320</v>
      </c>
      <c r="I476" s="1"/>
      <c r="J476" s="1">
        <f t="shared" si="284"/>
        <v>2320</v>
      </c>
      <c r="K476" s="1"/>
      <c r="L476" s="1">
        <f t="shared" si="285"/>
        <v>2320</v>
      </c>
      <c r="N476" s="1">
        <f t="shared" si="286"/>
        <v>2320</v>
      </c>
      <c r="O476" s="1"/>
      <c r="Q476" s="1">
        <f t="shared" si="287"/>
        <v>2320</v>
      </c>
      <c r="T476" s="1">
        <f>Q476+S476</f>
        <v>2320</v>
      </c>
      <c r="U476" s="1">
        <f>R476+T476</f>
        <v>2320</v>
      </c>
      <c r="V476" s="1">
        <f t="shared" si="288"/>
        <v>0</v>
      </c>
      <c r="W476" s="1">
        <f t="shared" si="289"/>
        <v>2320</v>
      </c>
      <c r="X476" s="1">
        <v>0</v>
      </c>
      <c r="Y476" s="41">
        <f t="shared" si="269"/>
        <v>-2320</v>
      </c>
      <c r="Z476" s="1">
        <f t="shared" si="270"/>
        <v>0</v>
      </c>
      <c r="AA476" s="1">
        <v>100</v>
      </c>
      <c r="AB476" s="1">
        <f t="shared" si="271"/>
        <v>100</v>
      </c>
      <c r="AC476" s="1">
        <f t="shared" si="272"/>
        <v>100</v>
      </c>
      <c r="AD476" s="41">
        <v>100</v>
      </c>
      <c r="AE476" s="1">
        <f t="shared" si="278"/>
        <v>0</v>
      </c>
      <c r="AF476" s="1">
        <f t="shared" si="279"/>
        <v>100</v>
      </c>
    </row>
    <row r="477" spans="1:32">
      <c r="A477" s="11">
        <v>41000</v>
      </c>
      <c r="B477" s="11">
        <v>22001</v>
      </c>
      <c r="C477" s="11" t="s">
        <v>384</v>
      </c>
      <c r="D477" s="7">
        <v>5000</v>
      </c>
      <c r="E477" s="7"/>
      <c r="F477" s="7">
        <f t="shared" si="282"/>
        <v>5000</v>
      </c>
      <c r="G477" s="7"/>
      <c r="H477" s="7">
        <f t="shared" si="283"/>
        <v>5000</v>
      </c>
      <c r="I477" s="1"/>
      <c r="J477" s="1">
        <f t="shared" si="284"/>
        <v>5000</v>
      </c>
      <c r="K477" s="1"/>
      <c r="L477" s="1">
        <f t="shared" si="285"/>
        <v>5000</v>
      </c>
      <c r="N477" s="1">
        <f t="shared" si="286"/>
        <v>5000</v>
      </c>
      <c r="O477" s="1"/>
      <c r="Q477" s="1">
        <f t="shared" si="287"/>
        <v>5000</v>
      </c>
      <c r="T477" s="1">
        <f t="shared" ref="T477:T484" si="290">Q477+S477</f>
        <v>5000</v>
      </c>
      <c r="U477" s="1">
        <v>1000</v>
      </c>
      <c r="V477" s="1">
        <f t="shared" si="288"/>
        <v>-4000</v>
      </c>
      <c r="W477" s="1">
        <f t="shared" si="289"/>
        <v>1000</v>
      </c>
      <c r="X477" s="1">
        <v>0</v>
      </c>
      <c r="Y477" s="41">
        <f t="shared" si="269"/>
        <v>-1000</v>
      </c>
      <c r="Z477" s="1">
        <f t="shared" si="270"/>
        <v>0</v>
      </c>
      <c r="AA477" s="1">
        <v>0</v>
      </c>
      <c r="AB477" s="1">
        <f t="shared" si="271"/>
        <v>0</v>
      </c>
      <c r="AC477" s="1">
        <f t="shared" si="272"/>
        <v>0</v>
      </c>
      <c r="AD477" s="41">
        <v>0</v>
      </c>
      <c r="AE477" s="1">
        <f t="shared" si="278"/>
        <v>0</v>
      </c>
      <c r="AF477" s="1">
        <f t="shared" si="279"/>
        <v>0</v>
      </c>
    </row>
    <row r="478" spans="1:32">
      <c r="A478" s="13">
        <v>43200</v>
      </c>
      <c r="B478" s="11">
        <v>22001</v>
      </c>
      <c r="C478" s="11" t="s">
        <v>517</v>
      </c>
      <c r="D478" s="7">
        <v>80000</v>
      </c>
      <c r="E478" s="7"/>
      <c r="F478" s="7">
        <f t="shared" si="282"/>
        <v>80000</v>
      </c>
      <c r="G478" s="7">
        <v>-10000</v>
      </c>
      <c r="H478" s="7">
        <f t="shared" si="283"/>
        <v>70000</v>
      </c>
      <c r="I478" s="1"/>
      <c r="J478" s="1">
        <f t="shared" si="284"/>
        <v>70000</v>
      </c>
      <c r="K478" s="1"/>
      <c r="L478" s="1">
        <f t="shared" si="285"/>
        <v>70000</v>
      </c>
      <c r="N478" s="1">
        <f t="shared" si="286"/>
        <v>70000</v>
      </c>
      <c r="O478" s="1"/>
      <c r="Q478" s="1">
        <f t="shared" si="287"/>
        <v>70000</v>
      </c>
      <c r="T478" s="1">
        <f t="shared" si="290"/>
        <v>70000</v>
      </c>
      <c r="U478" s="1">
        <f>R478+T478</f>
        <v>70000</v>
      </c>
      <c r="V478" s="1">
        <f t="shared" si="288"/>
        <v>0</v>
      </c>
      <c r="W478" s="1">
        <f t="shared" si="289"/>
        <v>70000</v>
      </c>
      <c r="X478" s="1">
        <v>0</v>
      </c>
      <c r="Y478" s="41">
        <f t="shared" si="269"/>
        <v>-70000</v>
      </c>
      <c r="Z478" s="1">
        <f t="shared" si="270"/>
        <v>0</v>
      </c>
      <c r="AA478" s="1">
        <v>25000</v>
      </c>
      <c r="AB478" s="41">
        <f t="shared" si="271"/>
        <v>25000</v>
      </c>
      <c r="AC478" s="1">
        <f t="shared" si="272"/>
        <v>25000</v>
      </c>
      <c r="AD478" s="41">
        <v>0</v>
      </c>
      <c r="AE478" s="1">
        <f t="shared" si="278"/>
        <v>-25000</v>
      </c>
      <c r="AF478" s="1">
        <f t="shared" si="279"/>
        <v>0</v>
      </c>
    </row>
    <row r="479" spans="1:32">
      <c r="A479" s="11">
        <v>45900</v>
      </c>
      <c r="B479" s="11">
        <v>22001</v>
      </c>
      <c r="C479" s="11" t="s">
        <v>173</v>
      </c>
      <c r="D479" s="7">
        <v>400</v>
      </c>
      <c r="E479" s="7"/>
      <c r="F479" s="7">
        <f t="shared" si="282"/>
        <v>400</v>
      </c>
      <c r="G479" s="7"/>
      <c r="H479" s="7">
        <f t="shared" si="283"/>
        <v>400</v>
      </c>
      <c r="I479" s="1"/>
      <c r="J479" s="1">
        <f t="shared" si="284"/>
        <v>400</v>
      </c>
      <c r="K479" s="1"/>
      <c r="L479" s="1">
        <f t="shared" si="285"/>
        <v>400</v>
      </c>
      <c r="N479" s="1">
        <f t="shared" si="286"/>
        <v>400</v>
      </c>
      <c r="O479" s="1"/>
      <c r="Q479" s="1">
        <f t="shared" si="287"/>
        <v>400</v>
      </c>
      <c r="T479" s="1">
        <f t="shared" si="290"/>
        <v>400</v>
      </c>
      <c r="U479" s="1">
        <f>R479+T479</f>
        <v>400</v>
      </c>
      <c r="V479" s="1">
        <f t="shared" si="288"/>
        <v>0</v>
      </c>
      <c r="W479" s="1">
        <f t="shared" si="289"/>
        <v>400</v>
      </c>
      <c r="X479" s="1">
        <v>0</v>
      </c>
      <c r="Y479" s="41">
        <f t="shared" si="269"/>
        <v>-400</v>
      </c>
      <c r="Z479" s="1">
        <f t="shared" si="270"/>
        <v>0</v>
      </c>
      <c r="AA479" s="1">
        <v>0</v>
      </c>
      <c r="AB479" s="1">
        <f t="shared" si="271"/>
        <v>0</v>
      </c>
      <c r="AC479" s="1">
        <f t="shared" si="272"/>
        <v>0</v>
      </c>
      <c r="AD479" s="41">
        <v>0</v>
      </c>
      <c r="AE479" s="1">
        <f t="shared" si="278"/>
        <v>0</v>
      </c>
      <c r="AF479" s="1">
        <f t="shared" si="279"/>
        <v>0</v>
      </c>
    </row>
    <row r="480" spans="1:32">
      <c r="A480" s="11">
        <v>91200</v>
      </c>
      <c r="B480" s="11">
        <v>22001</v>
      </c>
      <c r="C480" s="11" t="s">
        <v>230</v>
      </c>
      <c r="D480" s="7">
        <v>20385.55</v>
      </c>
      <c r="E480" s="7"/>
      <c r="F480" s="7">
        <f t="shared" si="282"/>
        <v>20385.55</v>
      </c>
      <c r="G480" s="7"/>
      <c r="H480" s="7">
        <f t="shared" si="283"/>
        <v>20385.55</v>
      </c>
      <c r="I480" s="1"/>
      <c r="J480" s="1">
        <f t="shared" si="284"/>
        <v>20385.55</v>
      </c>
      <c r="K480" s="1"/>
      <c r="L480" s="1">
        <f t="shared" si="285"/>
        <v>20385.55</v>
      </c>
      <c r="N480" s="1">
        <f t="shared" si="286"/>
        <v>20385.55</v>
      </c>
      <c r="O480" s="1"/>
      <c r="Q480" s="1">
        <f t="shared" si="287"/>
        <v>20385.55</v>
      </c>
      <c r="T480" s="1">
        <f t="shared" si="290"/>
        <v>20385.55</v>
      </c>
      <c r="U480" s="1">
        <f>R480+T480</f>
        <v>20385.55</v>
      </c>
      <c r="V480" s="1">
        <f t="shared" si="288"/>
        <v>0</v>
      </c>
      <c r="W480" s="1">
        <f t="shared" si="289"/>
        <v>20385.55</v>
      </c>
      <c r="X480" s="1">
        <v>1000</v>
      </c>
      <c r="Y480" s="41">
        <f t="shared" si="269"/>
        <v>-19385.55</v>
      </c>
      <c r="Z480" s="1">
        <f t="shared" si="270"/>
        <v>1000</v>
      </c>
      <c r="AA480" s="41">
        <v>1000</v>
      </c>
      <c r="AB480" s="1">
        <f t="shared" si="271"/>
        <v>0</v>
      </c>
      <c r="AC480" s="1">
        <f t="shared" si="272"/>
        <v>1000</v>
      </c>
      <c r="AD480" s="41">
        <v>2000</v>
      </c>
      <c r="AE480" s="1">
        <f t="shared" si="278"/>
        <v>1000</v>
      </c>
      <c r="AF480" s="1">
        <f t="shared" si="279"/>
        <v>2000</v>
      </c>
    </row>
    <row r="481" spans="1:32">
      <c r="A481" s="11">
        <v>92000</v>
      </c>
      <c r="B481" s="11">
        <v>22001</v>
      </c>
      <c r="C481" s="11" t="s">
        <v>247</v>
      </c>
      <c r="D481" s="7">
        <v>4711.9399999999996</v>
      </c>
      <c r="E481" s="7"/>
      <c r="F481" s="7">
        <f t="shared" si="282"/>
        <v>4711.9399999999996</v>
      </c>
      <c r="G481" s="7"/>
      <c r="H481" s="7">
        <f t="shared" si="283"/>
        <v>4711.9399999999996</v>
      </c>
      <c r="I481" s="1"/>
      <c r="J481" s="1">
        <f t="shared" si="284"/>
        <v>4711.9399999999996</v>
      </c>
      <c r="K481" s="1"/>
      <c r="L481" s="1">
        <f t="shared" si="285"/>
        <v>4711.9399999999996</v>
      </c>
      <c r="N481" s="1">
        <f t="shared" si="286"/>
        <v>4711.9399999999996</v>
      </c>
      <c r="O481" s="1"/>
      <c r="P481" s="3"/>
      <c r="Q481" s="1">
        <f t="shared" si="287"/>
        <v>4711.9399999999996</v>
      </c>
      <c r="R481" s="3"/>
      <c r="S481" s="3"/>
      <c r="T481" s="1">
        <f t="shared" si="290"/>
        <v>4711.9399999999996</v>
      </c>
      <c r="U481" s="41">
        <v>3000</v>
      </c>
      <c r="V481" s="1">
        <f t="shared" si="288"/>
        <v>-1711.9399999999996</v>
      </c>
      <c r="W481" s="1">
        <f t="shared" si="289"/>
        <v>3000</v>
      </c>
      <c r="X481" s="41">
        <v>3000</v>
      </c>
      <c r="Y481" s="41">
        <f t="shared" si="269"/>
        <v>0</v>
      </c>
      <c r="Z481" s="1">
        <f t="shared" si="270"/>
        <v>3000</v>
      </c>
      <c r="AA481" s="41">
        <v>3000</v>
      </c>
      <c r="AB481" s="1">
        <f t="shared" si="271"/>
        <v>0</v>
      </c>
      <c r="AC481" s="1">
        <f t="shared" si="272"/>
        <v>3000</v>
      </c>
      <c r="AD481" s="41">
        <v>3000</v>
      </c>
      <c r="AE481" s="1">
        <f t="shared" si="278"/>
        <v>0</v>
      </c>
      <c r="AF481" s="1">
        <f t="shared" si="279"/>
        <v>3000</v>
      </c>
    </row>
    <row r="482" spans="1:32">
      <c r="A482" s="11">
        <v>92010</v>
      </c>
      <c r="B482" s="11">
        <v>22001</v>
      </c>
      <c r="C482" s="11" t="s">
        <v>281</v>
      </c>
      <c r="D482" s="7">
        <v>1000</v>
      </c>
      <c r="E482" s="7"/>
      <c r="F482" s="7">
        <f t="shared" si="282"/>
        <v>1000</v>
      </c>
      <c r="G482" s="7"/>
      <c r="H482" s="7">
        <f t="shared" si="283"/>
        <v>1000</v>
      </c>
      <c r="I482" s="7"/>
      <c r="J482" s="7">
        <f t="shared" si="284"/>
        <v>1000</v>
      </c>
      <c r="K482" s="7"/>
      <c r="L482" s="7">
        <v>1000</v>
      </c>
      <c r="M482" s="7">
        <v>0</v>
      </c>
      <c r="N482" s="7">
        <f t="shared" si="286"/>
        <v>1000</v>
      </c>
      <c r="O482" s="7"/>
      <c r="Q482" s="1">
        <f t="shared" si="287"/>
        <v>1000</v>
      </c>
      <c r="T482" s="1">
        <f t="shared" si="290"/>
        <v>1000</v>
      </c>
      <c r="U482" s="1">
        <f>R482+T482</f>
        <v>1000</v>
      </c>
      <c r="V482" s="1">
        <f t="shared" si="288"/>
        <v>0</v>
      </c>
      <c r="W482" s="1">
        <f t="shared" si="289"/>
        <v>1000</v>
      </c>
      <c r="X482" s="1">
        <v>1000</v>
      </c>
      <c r="Y482" s="41">
        <f t="shared" si="269"/>
        <v>0</v>
      </c>
      <c r="Z482" s="1">
        <f t="shared" si="270"/>
        <v>1000</v>
      </c>
      <c r="AA482" s="1">
        <v>17000</v>
      </c>
      <c r="AB482" s="1">
        <f t="shared" si="271"/>
        <v>16000</v>
      </c>
      <c r="AC482" s="1">
        <f t="shared" si="272"/>
        <v>17000</v>
      </c>
      <c r="AD482" s="41">
        <v>10000</v>
      </c>
      <c r="AE482" s="1">
        <f t="shared" si="278"/>
        <v>-7000</v>
      </c>
      <c r="AF482" s="1">
        <f t="shared" si="279"/>
        <v>10000</v>
      </c>
    </row>
    <row r="483" spans="1:32">
      <c r="A483" s="11">
        <v>92600</v>
      </c>
      <c r="B483" s="11">
        <v>22002</v>
      </c>
      <c r="C483" s="11" t="s">
        <v>290</v>
      </c>
      <c r="D483" s="7">
        <v>15000</v>
      </c>
      <c r="E483" s="7"/>
      <c r="F483" s="7">
        <f t="shared" si="282"/>
        <v>15000</v>
      </c>
      <c r="G483" s="7"/>
      <c r="H483" s="7">
        <f t="shared" si="283"/>
        <v>15000</v>
      </c>
      <c r="I483" s="7"/>
      <c r="J483" s="7">
        <f t="shared" si="284"/>
        <v>15000</v>
      </c>
      <c r="K483" s="7"/>
      <c r="L483" s="7">
        <v>15000</v>
      </c>
      <c r="M483" s="7">
        <v>0</v>
      </c>
      <c r="N483" s="7">
        <f t="shared" si="286"/>
        <v>15000</v>
      </c>
      <c r="O483" s="7"/>
      <c r="Q483" s="1">
        <f t="shared" si="287"/>
        <v>15000</v>
      </c>
      <c r="T483" s="1">
        <f t="shared" si="290"/>
        <v>15000</v>
      </c>
      <c r="U483" s="1">
        <f>R483+T483</f>
        <v>15000</v>
      </c>
      <c r="V483" s="1">
        <f t="shared" si="288"/>
        <v>0</v>
      </c>
      <c r="W483" s="1">
        <f t="shared" si="289"/>
        <v>15000</v>
      </c>
      <c r="X483" s="1">
        <v>15000</v>
      </c>
      <c r="Y483" s="41">
        <f t="shared" ref="Y483:Y484" si="291">X483-W483</f>
        <v>0</v>
      </c>
      <c r="Z483" s="1">
        <f t="shared" ref="Z483:Z484" si="292">W483+Y483</f>
        <v>15000</v>
      </c>
      <c r="AA483" s="1">
        <v>15000</v>
      </c>
      <c r="AB483" s="1">
        <f t="shared" ref="AB483:AB484" si="293">AA483-Z483</f>
        <v>0</v>
      </c>
      <c r="AC483" s="1">
        <f t="shared" ref="AC483:AC484" si="294">Z483+AB483</f>
        <v>15000</v>
      </c>
      <c r="AD483" s="41">
        <v>10000</v>
      </c>
      <c r="AE483" s="1">
        <f t="shared" si="278"/>
        <v>-5000</v>
      </c>
      <c r="AF483" s="1">
        <f t="shared" si="279"/>
        <v>10000</v>
      </c>
    </row>
    <row r="484" spans="1:32">
      <c r="A484" s="13">
        <v>16500</v>
      </c>
      <c r="B484" s="11">
        <v>22100</v>
      </c>
      <c r="C484" s="11" t="s">
        <v>390</v>
      </c>
      <c r="D484" s="7">
        <v>800000</v>
      </c>
      <c r="E484" s="7"/>
      <c r="F484" s="7">
        <f t="shared" si="282"/>
        <v>800000</v>
      </c>
      <c r="G484" s="7"/>
      <c r="H484" s="7">
        <f t="shared" si="283"/>
        <v>800000</v>
      </c>
      <c r="I484" s="1">
        <v>1200000</v>
      </c>
      <c r="J484" s="1">
        <f t="shared" si="284"/>
        <v>-400000</v>
      </c>
      <c r="K484" s="1">
        <v>400000</v>
      </c>
      <c r="L484" s="1">
        <f>H484+K484</f>
        <v>1200000</v>
      </c>
      <c r="M484" s="7">
        <v>150000</v>
      </c>
      <c r="N484" s="1">
        <f t="shared" si="286"/>
        <v>1350000</v>
      </c>
      <c r="O484" s="1"/>
      <c r="Q484" s="1">
        <f t="shared" si="287"/>
        <v>1350000</v>
      </c>
      <c r="T484" s="1">
        <f t="shared" si="290"/>
        <v>1350000</v>
      </c>
      <c r="U484" s="1">
        <f>R484+T484</f>
        <v>1350000</v>
      </c>
      <c r="V484" s="1">
        <f t="shared" si="288"/>
        <v>0</v>
      </c>
      <c r="W484" s="1">
        <f t="shared" si="289"/>
        <v>1350000</v>
      </c>
      <c r="X484" s="1">
        <v>1300000</v>
      </c>
      <c r="Y484" s="41">
        <f t="shared" si="291"/>
        <v>-50000</v>
      </c>
      <c r="Z484" s="1">
        <f t="shared" si="292"/>
        <v>1300000</v>
      </c>
      <c r="AA484" s="1">
        <v>1270000</v>
      </c>
      <c r="AB484" s="1">
        <f t="shared" si="293"/>
        <v>-30000</v>
      </c>
      <c r="AC484" s="1">
        <f t="shared" si="294"/>
        <v>1270000</v>
      </c>
      <c r="AD484" s="41">
        <v>1120000</v>
      </c>
      <c r="AE484" s="1">
        <f t="shared" si="278"/>
        <v>-150000</v>
      </c>
      <c r="AF484" s="1">
        <f t="shared" si="279"/>
        <v>1120000</v>
      </c>
    </row>
    <row r="485" spans="1:32">
      <c r="A485" s="11">
        <v>13000</v>
      </c>
      <c r="B485" s="11">
        <v>22101</v>
      </c>
      <c r="C485" s="11" t="s">
        <v>248</v>
      </c>
      <c r="D485" s="7"/>
      <c r="E485" s="7"/>
      <c r="F485" s="7"/>
      <c r="G485" s="7"/>
      <c r="H485" s="7"/>
      <c r="I485" s="1"/>
      <c r="J485" s="1"/>
      <c r="K485" s="1"/>
      <c r="L485" s="1"/>
      <c r="N485" s="1"/>
      <c r="O485" s="1"/>
      <c r="T485" s="1"/>
      <c r="V485" s="1"/>
      <c r="W485" s="1"/>
      <c r="Y485" s="41"/>
      <c r="Z485" s="1"/>
      <c r="AB485" s="1"/>
      <c r="AC485" s="1">
        <v>0</v>
      </c>
      <c r="AD485" s="41">
        <v>525</v>
      </c>
      <c r="AE485" s="1">
        <f t="shared" si="278"/>
        <v>525</v>
      </c>
      <c r="AF485" s="1">
        <f t="shared" si="279"/>
        <v>525</v>
      </c>
    </row>
    <row r="486" spans="1:32">
      <c r="A486" s="11">
        <v>13200</v>
      </c>
      <c r="B486" s="11">
        <v>22101</v>
      </c>
      <c r="C486" s="11" t="s">
        <v>248</v>
      </c>
      <c r="D486" s="7"/>
      <c r="E486" s="7"/>
      <c r="F486" s="7"/>
      <c r="G486" s="7"/>
      <c r="H486" s="7"/>
      <c r="I486" s="1"/>
      <c r="J486" s="1"/>
      <c r="K486" s="1"/>
      <c r="L486" s="1"/>
      <c r="N486" s="1"/>
      <c r="O486" s="1"/>
      <c r="T486" s="1"/>
      <c r="V486" s="1"/>
      <c r="W486" s="1"/>
      <c r="Y486" s="41"/>
      <c r="Z486" s="1"/>
      <c r="AB486" s="1"/>
      <c r="AC486" s="1">
        <v>0</v>
      </c>
      <c r="AD486" s="41">
        <v>1000</v>
      </c>
      <c r="AE486" s="1">
        <f t="shared" si="278"/>
        <v>1000</v>
      </c>
      <c r="AF486" s="1">
        <f t="shared" si="279"/>
        <v>1000</v>
      </c>
    </row>
    <row r="487" spans="1:32">
      <c r="A487" s="42">
        <v>17000</v>
      </c>
      <c r="B487" s="11">
        <v>22101</v>
      </c>
      <c r="C487" s="39" t="s">
        <v>248</v>
      </c>
      <c r="D487" s="7"/>
      <c r="E487" s="7"/>
      <c r="F487" s="7"/>
      <c r="G487" s="7"/>
      <c r="H487" s="7"/>
      <c r="I487" s="1"/>
      <c r="J487" s="1"/>
      <c r="K487" s="1"/>
      <c r="L487" s="1"/>
      <c r="N487" s="1"/>
      <c r="O487" s="1"/>
      <c r="T487" s="1"/>
      <c r="V487" s="1"/>
      <c r="W487" s="1"/>
      <c r="Y487" s="41"/>
      <c r="Z487" s="1"/>
      <c r="AB487" s="1"/>
      <c r="AC487" s="1">
        <v>0</v>
      </c>
      <c r="AD487" s="41">
        <v>100</v>
      </c>
      <c r="AE487" s="1">
        <f t="shared" si="278"/>
        <v>100</v>
      </c>
      <c r="AF487" s="1">
        <f t="shared" si="279"/>
        <v>100</v>
      </c>
    </row>
    <row r="488" spans="1:32">
      <c r="A488" s="42">
        <v>17100</v>
      </c>
      <c r="B488" s="11">
        <v>22101</v>
      </c>
      <c r="C488" s="39" t="s">
        <v>926</v>
      </c>
      <c r="D488" s="7"/>
      <c r="E488" s="7"/>
      <c r="F488" s="7"/>
      <c r="G488" s="7"/>
      <c r="H488" s="7"/>
      <c r="I488" s="1"/>
      <c r="J488" s="1"/>
      <c r="K488" s="1"/>
      <c r="L488" s="1"/>
      <c r="N488" s="1"/>
      <c r="O488" s="1"/>
      <c r="T488" s="1"/>
      <c r="V488" s="1"/>
      <c r="W488" s="1"/>
      <c r="Y488" s="41"/>
      <c r="Z488" s="1"/>
      <c r="AB488" s="1"/>
      <c r="AC488" s="1">
        <v>0</v>
      </c>
      <c r="AD488" s="41">
        <v>1000</v>
      </c>
      <c r="AE488" s="1">
        <f t="shared" si="278"/>
        <v>1000</v>
      </c>
      <c r="AF488" s="1">
        <f t="shared" si="279"/>
        <v>1000</v>
      </c>
    </row>
    <row r="489" spans="1:32">
      <c r="A489" s="42">
        <v>23110</v>
      </c>
      <c r="B489" s="11">
        <v>22101</v>
      </c>
      <c r="C489" s="39" t="s">
        <v>248</v>
      </c>
      <c r="D489" s="8"/>
      <c r="E489" s="8"/>
      <c r="F489" s="8"/>
      <c r="G489" s="8"/>
      <c r="H489" s="8"/>
      <c r="I489" s="8"/>
      <c r="J489" s="8"/>
      <c r="K489" s="8"/>
      <c r="L489" s="10"/>
      <c r="M489" s="10"/>
      <c r="N489" s="7"/>
      <c r="O489" s="7"/>
      <c r="P489" s="3"/>
      <c r="R489" s="3"/>
      <c r="S489" s="3"/>
      <c r="T489" s="1"/>
      <c r="V489" s="1"/>
      <c r="W489" s="1"/>
      <c r="X489" s="41"/>
      <c r="Y489" s="41"/>
      <c r="Z489" s="1">
        <v>0</v>
      </c>
      <c r="AA489" s="41">
        <v>350</v>
      </c>
      <c r="AB489" s="41">
        <f>AA489-Z489</f>
        <v>350</v>
      </c>
      <c r="AC489" s="1">
        <f>Z489+AB489</f>
        <v>350</v>
      </c>
      <c r="AD489" s="41">
        <v>350</v>
      </c>
      <c r="AE489" s="1">
        <f t="shared" si="278"/>
        <v>0</v>
      </c>
      <c r="AF489" s="1">
        <f t="shared" si="279"/>
        <v>350</v>
      </c>
    </row>
    <row r="490" spans="1:32">
      <c r="A490" s="42">
        <v>23113</v>
      </c>
      <c r="B490" s="11">
        <v>22101</v>
      </c>
      <c r="C490" s="39" t="s">
        <v>248</v>
      </c>
      <c r="D490" s="7"/>
      <c r="E490" s="7"/>
      <c r="F490" s="7"/>
      <c r="G490" s="7"/>
      <c r="H490" s="7"/>
      <c r="I490" s="7"/>
      <c r="J490" s="7"/>
      <c r="K490" s="7"/>
      <c r="L490" s="7"/>
      <c r="N490" s="7"/>
      <c r="O490" s="7"/>
      <c r="P490" s="3"/>
      <c r="R490" s="3"/>
      <c r="S490" s="3"/>
      <c r="T490" s="1"/>
      <c r="V490" s="1"/>
      <c r="W490" s="1"/>
      <c r="X490" s="41"/>
      <c r="Y490" s="41"/>
      <c r="Z490" s="1">
        <v>0</v>
      </c>
      <c r="AA490" s="41">
        <v>500</v>
      </c>
      <c r="AB490" s="41">
        <f>AA490-Z490</f>
        <v>500</v>
      </c>
      <c r="AC490" s="1">
        <f>Z490+AB490</f>
        <v>500</v>
      </c>
      <c r="AD490" s="41">
        <v>500</v>
      </c>
      <c r="AE490" s="1">
        <f t="shared" si="278"/>
        <v>0</v>
      </c>
      <c r="AF490" s="1">
        <f t="shared" si="279"/>
        <v>500</v>
      </c>
    </row>
    <row r="491" spans="1:32">
      <c r="A491" s="11">
        <v>32000</v>
      </c>
      <c r="B491" s="11">
        <v>22101</v>
      </c>
      <c r="C491" s="39" t="s">
        <v>248</v>
      </c>
      <c r="D491" s="7"/>
      <c r="E491" s="7"/>
      <c r="F491" s="7"/>
      <c r="G491" s="7"/>
      <c r="H491" s="7"/>
      <c r="I491" s="1"/>
      <c r="J491" s="1"/>
      <c r="K491" s="1"/>
      <c r="L491" s="1"/>
      <c r="N491" s="1"/>
      <c r="O491" s="1"/>
      <c r="P491" s="3"/>
      <c r="R491" s="3"/>
      <c r="S491" s="3"/>
      <c r="T491" s="1"/>
      <c r="V491" s="1"/>
      <c r="W491" s="1"/>
      <c r="X491" s="41"/>
      <c r="Y491" s="41"/>
      <c r="Z491" s="1"/>
      <c r="AA491" s="41"/>
      <c r="AB491" s="41"/>
      <c r="AC491" s="1">
        <v>0</v>
      </c>
      <c r="AD491" s="41">
        <v>5000</v>
      </c>
      <c r="AE491" s="1">
        <f t="shared" si="278"/>
        <v>5000</v>
      </c>
      <c r="AF491" s="1">
        <f t="shared" si="279"/>
        <v>5000</v>
      </c>
    </row>
    <row r="492" spans="1:32">
      <c r="A492" s="11">
        <v>33400</v>
      </c>
      <c r="B492" s="11">
        <v>22101</v>
      </c>
      <c r="C492" s="39" t="s">
        <v>248</v>
      </c>
      <c r="D492" s="7"/>
      <c r="E492" s="7"/>
      <c r="F492" s="7"/>
      <c r="G492" s="7"/>
      <c r="H492" s="7"/>
      <c r="I492" s="1"/>
      <c r="J492" s="1"/>
      <c r="K492" s="1"/>
      <c r="L492" s="1"/>
      <c r="N492" s="1"/>
      <c r="O492" s="1"/>
      <c r="T492" s="1"/>
      <c r="V492" s="1"/>
      <c r="W492" s="1"/>
      <c r="Y492" s="41"/>
      <c r="Z492" s="1">
        <v>0</v>
      </c>
      <c r="AA492" s="1">
        <v>500</v>
      </c>
      <c r="AB492" s="1">
        <f>AA492-Z492</f>
        <v>500</v>
      </c>
      <c r="AC492" s="1">
        <f>Z492+AB492</f>
        <v>500</v>
      </c>
      <c r="AD492" s="41">
        <v>500</v>
      </c>
      <c r="AE492" s="1">
        <f t="shared" si="278"/>
        <v>0</v>
      </c>
      <c r="AF492" s="1">
        <f t="shared" si="279"/>
        <v>500</v>
      </c>
    </row>
    <row r="493" spans="1:32">
      <c r="A493" s="11">
        <v>33600</v>
      </c>
      <c r="B493" s="11">
        <v>22101</v>
      </c>
      <c r="C493" s="39" t="s">
        <v>248</v>
      </c>
      <c r="D493" s="7"/>
      <c r="E493" s="7"/>
      <c r="F493" s="7"/>
      <c r="G493" s="7"/>
      <c r="H493" s="7"/>
      <c r="I493" s="1"/>
      <c r="J493" s="1"/>
      <c r="K493" s="1"/>
      <c r="L493" s="1"/>
      <c r="N493" s="1"/>
      <c r="O493" s="1"/>
      <c r="T493" s="1"/>
      <c r="V493" s="1"/>
      <c r="W493" s="1"/>
      <c r="Y493" s="41"/>
      <c r="Z493" s="1"/>
      <c r="AB493" s="1"/>
      <c r="AC493" s="1">
        <v>0</v>
      </c>
      <c r="AD493" s="41">
        <v>100</v>
      </c>
      <c r="AE493" s="1">
        <f t="shared" si="278"/>
        <v>100</v>
      </c>
      <c r="AF493" s="1">
        <f t="shared" si="279"/>
        <v>100</v>
      </c>
    </row>
    <row r="494" spans="1:32">
      <c r="A494" s="13">
        <v>33800</v>
      </c>
      <c r="B494" s="11">
        <v>22101</v>
      </c>
      <c r="C494" s="42" t="s">
        <v>248</v>
      </c>
      <c r="D494" s="7"/>
      <c r="E494" s="7"/>
      <c r="F494" s="7"/>
      <c r="G494" s="7"/>
      <c r="H494" s="7"/>
      <c r="I494" s="1"/>
      <c r="J494" s="1"/>
      <c r="K494" s="1"/>
      <c r="L494" s="1"/>
      <c r="M494" s="10"/>
      <c r="N494" s="1"/>
      <c r="O494" s="1"/>
      <c r="T494" s="1"/>
      <c r="V494" s="1"/>
      <c r="W494" s="1"/>
      <c r="Y494" s="41"/>
      <c r="Z494" s="1"/>
      <c r="AB494" s="1"/>
      <c r="AC494" s="1">
        <v>0</v>
      </c>
      <c r="AD494" s="41">
        <v>50</v>
      </c>
      <c r="AE494" s="1">
        <f t="shared" si="278"/>
        <v>50</v>
      </c>
      <c r="AF494" s="1">
        <f t="shared" si="279"/>
        <v>50</v>
      </c>
    </row>
    <row r="495" spans="1:32">
      <c r="A495" s="11">
        <v>34000</v>
      </c>
      <c r="B495" s="11">
        <v>22101</v>
      </c>
      <c r="C495" s="11" t="s">
        <v>444</v>
      </c>
      <c r="D495" s="7">
        <v>16000</v>
      </c>
      <c r="E495" s="7"/>
      <c r="F495" s="7">
        <f>D495-E495</f>
        <v>16000</v>
      </c>
      <c r="G495" s="7">
        <v>-6000</v>
      </c>
      <c r="H495" s="7">
        <f>D495+G495</f>
        <v>10000</v>
      </c>
      <c r="I495" s="1"/>
      <c r="J495" s="1">
        <f>H495-I495</f>
        <v>10000</v>
      </c>
      <c r="K495" s="1"/>
      <c r="L495" s="1">
        <f>H495+K495</f>
        <v>10000</v>
      </c>
      <c r="M495" s="7">
        <v>-10000</v>
      </c>
      <c r="N495" s="1">
        <f>L495+M495</f>
        <v>0</v>
      </c>
      <c r="O495" s="1"/>
      <c r="Q495" s="1">
        <f>N495+P495</f>
        <v>0</v>
      </c>
      <c r="T495" s="1">
        <f>Q495+S495</f>
        <v>0</v>
      </c>
      <c r="U495" s="1">
        <f>R495+T495</f>
        <v>0</v>
      </c>
      <c r="V495" s="1">
        <f>U495-T495</f>
        <v>0</v>
      </c>
      <c r="W495" s="1">
        <f>T495+V495</f>
        <v>0</v>
      </c>
      <c r="X495" s="1">
        <v>500</v>
      </c>
      <c r="Y495" s="41">
        <f>X495-W495</f>
        <v>500</v>
      </c>
      <c r="Z495" s="1">
        <f>W495+Y495</f>
        <v>500</v>
      </c>
      <c r="AA495" s="1">
        <v>1500</v>
      </c>
      <c r="AB495" s="1">
        <f>AA495-Z495</f>
        <v>1000</v>
      </c>
      <c r="AC495" s="1">
        <f>Z495+AB495</f>
        <v>1500</v>
      </c>
      <c r="AD495" s="41">
        <v>1500</v>
      </c>
      <c r="AE495" s="1">
        <f t="shared" si="278"/>
        <v>0</v>
      </c>
      <c r="AF495" s="1">
        <f t="shared" si="279"/>
        <v>1500</v>
      </c>
    </row>
    <row r="496" spans="1:32">
      <c r="A496" s="11">
        <v>45900</v>
      </c>
      <c r="B496" s="11">
        <v>22101</v>
      </c>
      <c r="C496" s="39" t="s">
        <v>248</v>
      </c>
      <c r="D496" s="7"/>
      <c r="E496" s="7"/>
      <c r="F496" s="7"/>
      <c r="G496" s="7"/>
      <c r="H496" s="7"/>
      <c r="I496" s="1"/>
      <c r="J496" s="1"/>
      <c r="K496" s="1"/>
      <c r="L496" s="1"/>
      <c r="N496" s="1"/>
      <c r="O496" s="1"/>
      <c r="T496" s="1"/>
      <c r="V496" s="1"/>
      <c r="W496" s="1"/>
      <c r="Y496" s="41"/>
      <c r="Z496" s="1"/>
      <c r="AB496" s="1"/>
      <c r="AC496" s="1">
        <v>0</v>
      </c>
      <c r="AD496" s="41">
        <v>250</v>
      </c>
      <c r="AE496" s="1">
        <f t="shared" si="278"/>
        <v>250</v>
      </c>
      <c r="AF496" s="1">
        <f t="shared" si="279"/>
        <v>250</v>
      </c>
    </row>
    <row r="497" spans="1:32">
      <c r="A497" s="11">
        <v>92000</v>
      </c>
      <c r="B497" s="11">
        <v>22101</v>
      </c>
      <c r="C497" s="11" t="s">
        <v>248</v>
      </c>
      <c r="D497" s="7">
        <v>20000</v>
      </c>
      <c r="E497" s="7"/>
      <c r="F497" s="7">
        <f>D497-E497</f>
        <v>20000</v>
      </c>
      <c r="G497" s="7"/>
      <c r="H497" s="7">
        <f>D497+G497</f>
        <v>20000</v>
      </c>
      <c r="I497" s="1"/>
      <c r="J497" s="1">
        <f>H497-I497</f>
        <v>20000</v>
      </c>
      <c r="K497" s="1"/>
      <c r="L497" s="1">
        <f>H497+K497</f>
        <v>20000</v>
      </c>
      <c r="M497" s="7">
        <v>-20000</v>
      </c>
      <c r="N497" s="1">
        <f>L497+M497</f>
        <v>0</v>
      </c>
      <c r="O497" s="1"/>
      <c r="P497" s="3"/>
      <c r="Q497" s="1">
        <f>N497+P497</f>
        <v>0</v>
      </c>
      <c r="R497" s="3"/>
      <c r="S497" s="3"/>
      <c r="T497" s="1">
        <f>Q497+S497</f>
        <v>0</v>
      </c>
      <c r="U497" s="41">
        <v>5000</v>
      </c>
      <c r="V497" s="1">
        <f>U497-T497</f>
        <v>5000</v>
      </c>
      <c r="W497" s="1">
        <f>T497+V497</f>
        <v>5000</v>
      </c>
      <c r="X497" s="41">
        <v>5000</v>
      </c>
      <c r="Y497" s="41">
        <f>X497-W497</f>
        <v>0</v>
      </c>
      <c r="Z497" s="1">
        <f>W497+Y497</f>
        <v>5000</v>
      </c>
      <c r="AA497" s="41">
        <v>5000</v>
      </c>
      <c r="AB497" s="1">
        <f>AA497-Z497</f>
        <v>0</v>
      </c>
      <c r="AC497" s="1">
        <f>Z497+AB497</f>
        <v>5000</v>
      </c>
      <c r="AD497" s="41">
        <v>1000</v>
      </c>
      <c r="AE497" s="1">
        <f t="shared" si="278"/>
        <v>-4000</v>
      </c>
      <c r="AF497" s="1">
        <f t="shared" si="279"/>
        <v>1000</v>
      </c>
    </row>
    <row r="498" spans="1:32">
      <c r="A498" s="11">
        <v>92010</v>
      </c>
      <c r="B498" s="11">
        <v>22101</v>
      </c>
      <c r="C498" s="39" t="s">
        <v>248</v>
      </c>
      <c r="D498" s="7"/>
      <c r="E498" s="7"/>
      <c r="F498" s="7"/>
      <c r="G498" s="7"/>
      <c r="H498" s="7"/>
      <c r="I498" s="7"/>
      <c r="J498" s="7"/>
      <c r="K498" s="7"/>
      <c r="L498" s="7"/>
      <c r="N498" s="7"/>
      <c r="O498" s="7"/>
      <c r="T498" s="1"/>
      <c r="V498" s="1"/>
      <c r="W498" s="1"/>
      <c r="Y498" s="41"/>
      <c r="Z498" s="1"/>
      <c r="AB498" s="1"/>
      <c r="AC498" s="1">
        <v>0</v>
      </c>
      <c r="AD498" s="41">
        <v>100</v>
      </c>
      <c r="AE498" s="1">
        <f t="shared" si="278"/>
        <v>100</v>
      </c>
      <c r="AF498" s="1">
        <f t="shared" si="279"/>
        <v>100</v>
      </c>
    </row>
    <row r="499" spans="1:32">
      <c r="A499" s="11">
        <v>92400</v>
      </c>
      <c r="B499" s="11">
        <v>22101</v>
      </c>
      <c r="C499" s="39" t="s">
        <v>248</v>
      </c>
      <c r="D499" s="7"/>
      <c r="E499" s="7"/>
      <c r="F499" s="7"/>
      <c r="G499" s="7"/>
      <c r="H499" s="7"/>
      <c r="I499" s="1"/>
      <c r="J499" s="1"/>
      <c r="K499" s="1"/>
      <c r="L499" s="1"/>
      <c r="N499" s="1"/>
      <c r="O499" s="1"/>
      <c r="T499" s="1"/>
      <c r="V499" s="1"/>
      <c r="W499" s="1"/>
      <c r="Y499" s="41"/>
      <c r="Z499" s="1"/>
      <c r="AB499" s="1"/>
      <c r="AC499" s="1">
        <v>0</v>
      </c>
      <c r="AD499" s="41">
        <v>100</v>
      </c>
      <c r="AE499" s="1">
        <f t="shared" si="278"/>
        <v>100</v>
      </c>
      <c r="AF499" s="1">
        <f t="shared" si="279"/>
        <v>100</v>
      </c>
    </row>
    <row r="500" spans="1:32">
      <c r="A500" s="11">
        <v>13000</v>
      </c>
      <c r="B500" s="11">
        <v>22103</v>
      </c>
      <c r="C500" s="11" t="s">
        <v>273</v>
      </c>
      <c r="D500" s="7">
        <v>471.19</v>
      </c>
      <c r="E500" s="7"/>
      <c r="F500" s="7">
        <f>D500-E500</f>
        <v>471.19</v>
      </c>
      <c r="G500" s="7">
        <v>-71.19</v>
      </c>
      <c r="H500" s="7">
        <f>D500+G500</f>
        <v>400</v>
      </c>
      <c r="I500" s="1"/>
      <c r="J500" s="1">
        <f>H500-I500</f>
        <v>400</v>
      </c>
      <c r="K500" s="1"/>
      <c r="L500" s="1">
        <f>H500+K500</f>
        <v>400</v>
      </c>
      <c r="N500" s="1">
        <f>L500+M500</f>
        <v>400</v>
      </c>
      <c r="O500" s="1"/>
      <c r="Q500" s="1">
        <f>N500+P500</f>
        <v>400</v>
      </c>
      <c r="R500" s="1">
        <v>64532.6</v>
      </c>
      <c r="T500" s="1">
        <f t="shared" ref="T500:T530" si="295">Q500+S500</f>
        <v>400</v>
      </c>
      <c r="U500" s="1">
        <v>400</v>
      </c>
      <c r="V500" s="1">
        <f t="shared" ref="V500:V530" si="296">U500-T500</f>
        <v>0</v>
      </c>
      <c r="W500" s="1">
        <f t="shared" ref="W500:W530" si="297">T500+V500</f>
        <v>400</v>
      </c>
      <c r="X500" s="1">
        <v>2000</v>
      </c>
      <c r="Y500" s="41">
        <f t="shared" ref="Y500:Y530" si="298">X500-W500</f>
        <v>1600</v>
      </c>
      <c r="Z500" s="1">
        <f t="shared" ref="Z500:Z530" si="299">W500+Y500</f>
        <v>2000</v>
      </c>
      <c r="AA500" s="1">
        <v>0</v>
      </c>
      <c r="AB500" s="1">
        <f t="shared" ref="AB500:AB531" si="300">AA500-Z500</f>
        <v>-2000</v>
      </c>
      <c r="AC500" s="1">
        <f t="shared" ref="AC500:AC531" si="301">Z500+AB500</f>
        <v>0</v>
      </c>
      <c r="AD500" s="41">
        <v>0</v>
      </c>
      <c r="AE500" s="1">
        <f t="shared" si="278"/>
        <v>0</v>
      </c>
      <c r="AF500" s="1">
        <f t="shared" si="279"/>
        <v>0</v>
      </c>
    </row>
    <row r="501" spans="1:32">
      <c r="A501" s="11">
        <v>13200</v>
      </c>
      <c r="B501" s="11">
        <v>22103</v>
      </c>
      <c r="C501" s="11" t="s">
        <v>305</v>
      </c>
      <c r="D501" s="7">
        <v>21708.639999999999</v>
      </c>
      <c r="E501" s="7">
        <v>20000</v>
      </c>
      <c r="F501" s="7">
        <f>D501-E501</f>
        <v>1708.6399999999994</v>
      </c>
      <c r="G501" s="7">
        <v>-1708.64</v>
      </c>
      <c r="H501" s="7">
        <f>D501+G501</f>
        <v>20000</v>
      </c>
      <c r="I501" s="1"/>
      <c r="J501" s="1">
        <f>H501-I501</f>
        <v>20000</v>
      </c>
      <c r="K501" s="1"/>
      <c r="L501" s="1">
        <f>H501+K501</f>
        <v>20000</v>
      </c>
      <c r="M501" s="7">
        <v>4000</v>
      </c>
      <c r="N501" s="1">
        <f>L501+M501</f>
        <v>24000</v>
      </c>
      <c r="O501" s="1"/>
      <c r="Q501" s="1">
        <f>N501+P501</f>
        <v>24000</v>
      </c>
      <c r="S501" s="1">
        <v>10000</v>
      </c>
      <c r="T501" s="1">
        <f t="shared" si="295"/>
        <v>34000</v>
      </c>
      <c r="U501" s="1">
        <f t="shared" ref="U501:U510" si="302">R501+T501</f>
        <v>34000</v>
      </c>
      <c r="V501" s="1">
        <f t="shared" si="296"/>
        <v>0</v>
      </c>
      <c r="W501" s="1">
        <f t="shared" si="297"/>
        <v>34000</v>
      </c>
      <c r="X501" s="1">
        <v>34000</v>
      </c>
      <c r="Y501" s="41">
        <f t="shared" si="298"/>
        <v>0</v>
      </c>
      <c r="Z501" s="1">
        <f t="shared" si="299"/>
        <v>34000</v>
      </c>
      <c r="AA501" s="1">
        <v>34000</v>
      </c>
      <c r="AB501" s="1">
        <f t="shared" si="300"/>
        <v>0</v>
      </c>
      <c r="AC501" s="1">
        <f t="shared" si="301"/>
        <v>34000</v>
      </c>
      <c r="AD501" s="41">
        <v>34000</v>
      </c>
      <c r="AE501" s="1">
        <f t="shared" si="278"/>
        <v>0</v>
      </c>
      <c r="AF501" s="1">
        <f t="shared" si="279"/>
        <v>34000</v>
      </c>
    </row>
    <row r="502" spans="1:32">
      <c r="A502" s="11">
        <v>13300</v>
      </c>
      <c r="B502" s="11">
        <v>22103</v>
      </c>
      <c r="C502" s="42" t="s">
        <v>690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47">
        <v>0</v>
      </c>
      <c r="R502" s="3"/>
      <c r="S502" s="47">
        <v>5000</v>
      </c>
      <c r="T502" s="1">
        <f t="shared" si="295"/>
        <v>5000</v>
      </c>
      <c r="U502" s="1">
        <f t="shared" si="302"/>
        <v>5000</v>
      </c>
      <c r="V502" s="1">
        <f t="shared" si="296"/>
        <v>0</v>
      </c>
      <c r="W502" s="1">
        <f t="shared" si="297"/>
        <v>5000</v>
      </c>
      <c r="X502" s="41">
        <v>5000</v>
      </c>
      <c r="Y502" s="41">
        <f t="shared" si="298"/>
        <v>0</v>
      </c>
      <c r="Z502" s="1">
        <f t="shared" si="299"/>
        <v>5000</v>
      </c>
      <c r="AA502" s="41">
        <v>5000</v>
      </c>
      <c r="AB502" s="41">
        <f t="shared" si="300"/>
        <v>0</v>
      </c>
      <c r="AC502" s="1">
        <f t="shared" si="301"/>
        <v>5000</v>
      </c>
      <c r="AD502" s="41">
        <v>5000</v>
      </c>
      <c r="AE502" s="1">
        <f t="shared" si="278"/>
        <v>0</v>
      </c>
      <c r="AF502" s="1">
        <f t="shared" si="279"/>
        <v>5000</v>
      </c>
    </row>
    <row r="503" spans="1:32">
      <c r="A503" s="13">
        <v>13500</v>
      </c>
      <c r="B503" s="11">
        <v>22103</v>
      </c>
      <c r="C503" s="11" t="s">
        <v>312</v>
      </c>
      <c r="D503" s="7">
        <v>200</v>
      </c>
      <c r="E503" s="7"/>
      <c r="F503" s="7">
        <f t="shared" ref="F503:F508" si="303">D503-E503</f>
        <v>200</v>
      </c>
      <c r="G503" s="7"/>
      <c r="H503" s="7">
        <f t="shared" ref="H503:H508" si="304">D503+G503</f>
        <v>200</v>
      </c>
      <c r="I503" s="1"/>
      <c r="J503" s="1">
        <f t="shared" ref="J503:J508" si="305">H503-I503</f>
        <v>200</v>
      </c>
      <c r="K503" s="1"/>
      <c r="L503" s="1">
        <f t="shared" ref="L503:L508" si="306">H503+K503</f>
        <v>200</v>
      </c>
      <c r="N503" s="1">
        <f t="shared" ref="N503:N530" si="307">L503+M503</f>
        <v>200</v>
      </c>
      <c r="O503" s="1"/>
      <c r="Q503" s="1">
        <f t="shared" ref="Q503:Q530" si="308">N503+P503</f>
        <v>200</v>
      </c>
      <c r="S503" s="1">
        <v>2000</v>
      </c>
      <c r="T503" s="1">
        <f t="shared" si="295"/>
        <v>2200</v>
      </c>
      <c r="U503" s="1">
        <f t="shared" si="302"/>
        <v>2200</v>
      </c>
      <c r="V503" s="1">
        <f t="shared" si="296"/>
        <v>0</v>
      </c>
      <c r="W503" s="1">
        <f t="shared" si="297"/>
        <v>2200</v>
      </c>
      <c r="X503" s="1">
        <v>2300</v>
      </c>
      <c r="Y503" s="41">
        <f t="shared" si="298"/>
        <v>100</v>
      </c>
      <c r="Z503" s="1">
        <f t="shared" si="299"/>
        <v>2300</v>
      </c>
      <c r="AA503" s="1">
        <v>2300</v>
      </c>
      <c r="AB503" s="41">
        <f t="shared" si="300"/>
        <v>0</v>
      </c>
      <c r="AC503" s="1">
        <f t="shared" si="301"/>
        <v>2300</v>
      </c>
      <c r="AD503" s="41">
        <v>4000</v>
      </c>
      <c r="AE503" s="1">
        <f t="shared" si="278"/>
        <v>1700</v>
      </c>
      <c r="AF503" s="1">
        <f t="shared" si="279"/>
        <v>4000</v>
      </c>
    </row>
    <row r="504" spans="1:32">
      <c r="A504" s="11">
        <v>15100</v>
      </c>
      <c r="B504" s="11">
        <v>22103</v>
      </c>
      <c r="C504" s="11" t="s">
        <v>69</v>
      </c>
      <c r="D504" s="7">
        <v>4000</v>
      </c>
      <c r="E504" s="7"/>
      <c r="F504" s="7">
        <f t="shared" si="303"/>
        <v>4000</v>
      </c>
      <c r="G504" s="7"/>
      <c r="H504" s="7">
        <f t="shared" si="304"/>
        <v>4000</v>
      </c>
      <c r="I504" s="1"/>
      <c r="J504" s="1">
        <f t="shared" si="305"/>
        <v>4000</v>
      </c>
      <c r="K504" s="1"/>
      <c r="L504" s="1">
        <f t="shared" si="306"/>
        <v>4000</v>
      </c>
      <c r="N504" s="1">
        <f t="shared" si="307"/>
        <v>4000</v>
      </c>
      <c r="O504" s="1"/>
      <c r="Q504" s="1">
        <f t="shared" si="308"/>
        <v>4000</v>
      </c>
      <c r="T504" s="53">
        <f t="shared" si="295"/>
        <v>4000</v>
      </c>
      <c r="U504" s="1">
        <f t="shared" si="302"/>
        <v>4000</v>
      </c>
      <c r="V504" s="1">
        <f t="shared" si="296"/>
        <v>0</v>
      </c>
      <c r="W504" s="1">
        <f t="shared" si="297"/>
        <v>4000</v>
      </c>
      <c r="X504" s="1">
        <v>4000</v>
      </c>
      <c r="Y504" s="41">
        <f t="shared" si="298"/>
        <v>0</v>
      </c>
      <c r="Z504" s="1">
        <f t="shared" si="299"/>
        <v>4000</v>
      </c>
      <c r="AA504" s="1">
        <v>3000</v>
      </c>
      <c r="AB504" s="1">
        <f t="shared" si="300"/>
        <v>-1000</v>
      </c>
      <c r="AC504" s="1">
        <f t="shared" si="301"/>
        <v>3000</v>
      </c>
      <c r="AD504" s="41">
        <v>2000</v>
      </c>
      <c r="AE504" s="1">
        <f t="shared" si="278"/>
        <v>-1000</v>
      </c>
      <c r="AF504" s="1">
        <f t="shared" si="279"/>
        <v>2000</v>
      </c>
    </row>
    <row r="505" spans="1:32">
      <c r="A505" s="13">
        <v>16400</v>
      </c>
      <c r="B505" s="11">
        <v>22103</v>
      </c>
      <c r="C505" s="11" t="s">
        <v>415</v>
      </c>
      <c r="D505" s="7">
        <v>150.25</v>
      </c>
      <c r="E505" s="7"/>
      <c r="F505" s="7">
        <f t="shared" si="303"/>
        <v>150.25</v>
      </c>
      <c r="G505" s="7"/>
      <c r="H505" s="7">
        <f t="shared" si="304"/>
        <v>150.25</v>
      </c>
      <c r="I505" s="1"/>
      <c r="J505" s="1">
        <f t="shared" si="305"/>
        <v>150.25</v>
      </c>
      <c r="K505" s="1"/>
      <c r="L505" s="1">
        <f t="shared" si="306"/>
        <v>150.25</v>
      </c>
      <c r="N505" s="1">
        <f t="shared" si="307"/>
        <v>150.25</v>
      </c>
      <c r="O505" s="1"/>
      <c r="Q505" s="1">
        <f t="shared" si="308"/>
        <v>150.25</v>
      </c>
      <c r="S505" s="1">
        <v>3000</v>
      </c>
      <c r="T505" s="1">
        <f t="shared" si="295"/>
        <v>3150.25</v>
      </c>
      <c r="U505" s="1">
        <f t="shared" si="302"/>
        <v>3150.25</v>
      </c>
      <c r="V505" s="1">
        <f t="shared" si="296"/>
        <v>0</v>
      </c>
      <c r="W505" s="1">
        <f t="shared" si="297"/>
        <v>3150.25</v>
      </c>
      <c r="X505" s="1">
        <v>2000</v>
      </c>
      <c r="Y505" s="41">
        <f t="shared" si="298"/>
        <v>-1150.25</v>
      </c>
      <c r="Z505" s="1">
        <f t="shared" si="299"/>
        <v>2000</v>
      </c>
      <c r="AA505" s="1">
        <v>2000</v>
      </c>
      <c r="AB505" s="1">
        <f t="shared" si="300"/>
        <v>0</v>
      </c>
      <c r="AC505" s="1">
        <f t="shared" si="301"/>
        <v>2000</v>
      </c>
      <c r="AD505" s="41">
        <v>2000</v>
      </c>
      <c r="AE505" s="1">
        <f t="shared" si="278"/>
        <v>0</v>
      </c>
      <c r="AF505" s="1">
        <f t="shared" si="279"/>
        <v>2000</v>
      </c>
    </row>
    <row r="506" spans="1:32">
      <c r="A506" s="13">
        <v>16500</v>
      </c>
      <c r="B506" s="11">
        <v>22103</v>
      </c>
      <c r="C506" s="11" t="s">
        <v>391</v>
      </c>
      <c r="D506" s="7">
        <v>1600</v>
      </c>
      <c r="E506" s="7"/>
      <c r="F506" s="7">
        <f t="shared" si="303"/>
        <v>1600</v>
      </c>
      <c r="G506" s="7"/>
      <c r="H506" s="7">
        <f t="shared" si="304"/>
        <v>1600</v>
      </c>
      <c r="I506" s="1"/>
      <c r="J506" s="1">
        <f t="shared" si="305"/>
        <v>1600</v>
      </c>
      <c r="K506" s="1"/>
      <c r="L506" s="1">
        <f t="shared" si="306"/>
        <v>1600</v>
      </c>
      <c r="N506" s="1">
        <f t="shared" si="307"/>
        <v>1600</v>
      </c>
      <c r="O506" s="1"/>
      <c r="Q506" s="1">
        <f t="shared" si="308"/>
        <v>1600</v>
      </c>
      <c r="T506" s="1">
        <f t="shared" si="295"/>
        <v>1600</v>
      </c>
      <c r="U506" s="1">
        <f t="shared" si="302"/>
        <v>1600</v>
      </c>
      <c r="V506" s="1">
        <f t="shared" si="296"/>
        <v>0</v>
      </c>
      <c r="W506" s="1">
        <f t="shared" si="297"/>
        <v>1600</v>
      </c>
      <c r="X506" s="1">
        <v>1600</v>
      </c>
      <c r="Y506" s="41">
        <f t="shared" si="298"/>
        <v>0</v>
      </c>
      <c r="Z506" s="1">
        <f t="shared" si="299"/>
        <v>1600</v>
      </c>
      <c r="AA506" s="1">
        <v>1600</v>
      </c>
      <c r="AB506" s="1">
        <f t="shared" si="300"/>
        <v>0</v>
      </c>
      <c r="AC506" s="1">
        <f t="shared" si="301"/>
        <v>1600</v>
      </c>
      <c r="AD506" s="41">
        <v>2000</v>
      </c>
      <c r="AE506" s="1">
        <f t="shared" si="278"/>
        <v>400</v>
      </c>
      <c r="AF506" s="1">
        <f t="shared" si="279"/>
        <v>2000</v>
      </c>
    </row>
    <row r="507" spans="1:32">
      <c r="A507" s="13">
        <v>17000</v>
      </c>
      <c r="B507" s="11">
        <v>22103</v>
      </c>
      <c r="C507" s="11" t="s">
        <v>391</v>
      </c>
      <c r="D507" s="7">
        <v>2105</v>
      </c>
      <c r="E507" s="7"/>
      <c r="F507" s="7">
        <f t="shared" si="303"/>
        <v>2105</v>
      </c>
      <c r="G507" s="7"/>
      <c r="H507" s="7">
        <f t="shared" si="304"/>
        <v>2105</v>
      </c>
      <c r="I507" s="1"/>
      <c r="J507" s="1">
        <f t="shared" si="305"/>
        <v>2105</v>
      </c>
      <c r="K507" s="1"/>
      <c r="L507" s="1">
        <f t="shared" si="306"/>
        <v>2105</v>
      </c>
      <c r="N507" s="1">
        <f t="shared" si="307"/>
        <v>2105</v>
      </c>
      <c r="O507" s="1"/>
      <c r="Q507" s="1">
        <f t="shared" si="308"/>
        <v>2105</v>
      </c>
      <c r="S507" s="1">
        <v>3000</v>
      </c>
      <c r="T507" s="1">
        <f t="shared" si="295"/>
        <v>5105</v>
      </c>
      <c r="U507" s="1">
        <f t="shared" si="302"/>
        <v>5105</v>
      </c>
      <c r="V507" s="1">
        <f t="shared" si="296"/>
        <v>0</v>
      </c>
      <c r="W507" s="1">
        <f t="shared" si="297"/>
        <v>5105</v>
      </c>
      <c r="X507" s="1">
        <v>3500</v>
      </c>
      <c r="Y507" s="41">
        <f t="shared" si="298"/>
        <v>-1605</v>
      </c>
      <c r="Z507" s="1">
        <f t="shared" si="299"/>
        <v>3500</v>
      </c>
      <c r="AA507" s="1">
        <v>3500</v>
      </c>
      <c r="AB507" s="1">
        <f t="shared" si="300"/>
        <v>0</v>
      </c>
      <c r="AC507" s="1">
        <f t="shared" si="301"/>
        <v>3500</v>
      </c>
      <c r="AD507" s="41">
        <v>3000</v>
      </c>
      <c r="AE507" s="1">
        <f t="shared" si="278"/>
        <v>-500</v>
      </c>
      <c r="AF507" s="1">
        <f t="shared" si="279"/>
        <v>3000</v>
      </c>
    </row>
    <row r="508" spans="1:32">
      <c r="A508" s="13">
        <v>17100</v>
      </c>
      <c r="B508" s="11">
        <v>22103</v>
      </c>
      <c r="C508" s="11" t="s">
        <v>398</v>
      </c>
      <c r="D508" s="7">
        <v>8000</v>
      </c>
      <c r="E508" s="7"/>
      <c r="F508" s="7">
        <f t="shared" si="303"/>
        <v>8000</v>
      </c>
      <c r="G508" s="7"/>
      <c r="H508" s="7">
        <f t="shared" si="304"/>
        <v>8000</v>
      </c>
      <c r="I508" s="1"/>
      <c r="J508" s="1">
        <f t="shared" si="305"/>
        <v>8000</v>
      </c>
      <c r="K508" s="1"/>
      <c r="L508" s="1">
        <f t="shared" si="306"/>
        <v>8000</v>
      </c>
      <c r="N508" s="1">
        <f t="shared" si="307"/>
        <v>8000</v>
      </c>
      <c r="O508" s="1"/>
      <c r="Q508" s="1">
        <f t="shared" si="308"/>
        <v>8000</v>
      </c>
      <c r="S508" s="1">
        <v>10000</v>
      </c>
      <c r="T508" s="1">
        <f t="shared" si="295"/>
        <v>18000</v>
      </c>
      <c r="U508" s="1">
        <f t="shared" si="302"/>
        <v>18000</v>
      </c>
      <c r="V508" s="1">
        <f t="shared" si="296"/>
        <v>0</v>
      </c>
      <c r="W508" s="1">
        <f t="shared" si="297"/>
        <v>18000</v>
      </c>
      <c r="X508" s="1">
        <v>15000</v>
      </c>
      <c r="Y508" s="41">
        <f t="shared" si="298"/>
        <v>-3000</v>
      </c>
      <c r="Z508" s="1">
        <f t="shared" si="299"/>
        <v>15000</v>
      </c>
      <c r="AA508" s="1">
        <v>15000</v>
      </c>
      <c r="AB508" s="1">
        <f t="shared" si="300"/>
        <v>0</v>
      </c>
      <c r="AC508" s="1">
        <f t="shared" si="301"/>
        <v>15000</v>
      </c>
      <c r="AD508" s="41">
        <v>12000</v>
      </c>
      <c r="AE508" s="1">
        <f t="shared" si="278"/>
        <v>-3000</v>
      </c>
      <c r="AF508" s="1">
        <f t="shared" si="279"/>
        <v>12000</v>
      </c>
    </row>
    <row r="509" spans="1:32">
      <c r="A509" s="13">
        <v>23110</v>
      </c>
      <c r="B509" s="11">
        <v>22103</v>
      </c>
      <c r="C509" s="11" t="s">
        <v>325</v>
      </c>
      <c r="D509" s="8"/>
      <c r="E509" s="8"/>
      <c r="F509" s="8"/>
      <c r="G509" s="8"/>
      <c r="H509" s="8"/>
      <c r="I509" s="8"/>
      <c r="J509" s="8"/>
      <c r="K509" s="8"/>
      <c r="L509" s="10">
        <v>1200</v>
      </c>
      <c r="M509" s="10">
        <v>0</v>
      </c>
      <c r="N509" s="7">
        <f t="shared" si="307"/>
        <v>1200</v>
      </c>
      <c r="O509" s="7"/>
      <c r="P509" s="3"/>
      <c r="Q509" s="1">
        <f t="shared" si="308"/>
        <v>1200</v>
      </c>
      <c r="R509" s="3"/>
      <c r="S509" s="3"/>
      <c r="T509" s="1">
        <f t="shared" si="295"/>
        <v>1200</v>
      </c>
      <c r="U509" s="1">
        <f t="shared" si="302"/>
        <v>1200</v>
      </c>
      <c r="V509" s="1">
        <f t="shared" si="296"/>
        <v>0</v>
      </c>
      <c r="W509" s="1">
        <f t="shared" si="297"/>
        <v>1200</v>
      </c>
      <c r="X509" s="41">
        <v>1400</v>
      </c>
      <c r="Y509" s="41">
        <f t="shared" si="298"/>
        <v>200</v>
      </c>
      <c r="Z509" s="1">
        <f t="shared" si="299"/>
        <v>1400</v>
      </c>
      <c r="AA509" s="41">
        <v>1450</v>
      </c>
      <c r="AB509" s="41">
        <f t="shared" si="300"/>
        <v>50</v>
      </c>
      <c r="AC509" s="1">
        <f t="shared" si="301"/>
        <v>1450</v>
      </c>
      <c r="AD509" s="41">
        <v>1450</v>
      </c>
      <c r="AE509" s="1">
        <f t="shared" si="278"/>
        <v>0</v>
      </c>
      <c r="AF509" s="1">
        <f t="shared" si="279"/>
        <v>1450</v>
      </c>
    </row>
    <row r="510" spans="1:32">
      <c r="A510" s="42">
        <v>23113</v>
      </c>
      <c r="B510" s="11">
        <v>22103</v>
      </c>
      <c r="C510" s="11" t="s">
        <v>350</v>
      </c>
      <c r="D510" s="7">
        <v>55000</v>
      </c>
      <c r="E510" s="7">
        <v>50000</v>
      </c>
      <c r="F510" s="7">
        <f t="shared" ref="F510:F530" si="309">D510-E510</f>
        <v>5000</v>
      </c>
      <c r="G510" s="7">
        <v>-5000</v>
      </c>
      <c r="H510" s="7">
        <f t="shared" ref="H510:H530" si="310">D510+G510</f>
        <v>50000</v>
      </c>
      <c r="I510" s="7"/>
      <c r="J510" s="7">
        <f t="shared" ref="J510:J530" si="311">H510-I510</f>
        <v>50000</v>
      </c>
      <c r="K510" s="7"/>
      <c r="L510" s="7">
        <v>50000</v>
      </c>
      <c r="M510" s="7">
        <v>0</v>
      </c>
      <c r="N510" s="7">
        <f t="shared" si="307"/>
        <v>50000</v>
      </c>
      <c r="O510" s="7"/>
      <c r="P510" s="3"/>
      <c r="Q510" s="1">
        <f t="shared" si="308"/>
        <v>50000</v>
      </c>
      <c r="R510" s="3"/>
      <c r="S510" s="3"/>
      <c r="T510" s="1">
        <f t="shared" si="295"/>
        <v>50000</v>
      </c>
      <c r="U510" s="1">
        <f t="shared" si="302"/>
        <v>50000</v>
      </c>
      <c r="V510" s="1">
        <f t="shared" si="296"/>
        <v>0</v>
      </c>
      <c r="W510" s="1">
        <f t="shared" si="297"/>
        <v>50000</v>
      </c>
      <c r="X510" s="41">
        <v>40000</v>
      </c>
      <c r="Y510" s="41">
        <f t="shared" si="298"/>
        <v>-10000</v>
      </c>
      <c r="Z510" s="1">
        <f t="shared" si="299"/>
        <v>40000</v>
      </c>
      <c r="AA510" s="41">
        <v>45000</v>
      </c>
      <c r="AB510" s="41">
        <f t="shared" si="300"/>
        <v>5000</v>
      </c>
      <c r="AC510" s="1">
        <f t="shared" si="301"/>
        <v>45000</v>
      </c>
      <c r="AD510" s="41">
        <v>45000</v>
      </c>
      <c r="AE510" s="1">
        <f t="shared" si="278"/>
        <v>0</v>
      </c>
      <c r="AF510" s="1">
        <f t="shared" si="279"/>
        <v>45000</v>
      </c>
    </row>
    <row r="511" spans="1:32">
      <c r="A511" s="11">
        <v>32000</v>
      </c>
      <c r="B511" s="11">
        <v>22103</v>
      </c>
      <c r="C511" s="11" t="s">
        <v>367</v>
      </c>
      <c r="D511" s="7">
        <v>30000.400000000001</v>
      </c>
      <c r="E511" s="7"/>
      <c r="F511" s="7">
        <f t="shared" si="309"/>
        <v>30000.400000000001</v>
      </c>
      <c r="G511" s="7">
        <v>-3000</v>
      </c>
      <c r="H511" s="7">
        <f t="shared" si="310"/>
        <v>27000.400000000001</v>
      </c>
      <c r="I511" s="1"/>
      <c r="J511" s="1">
        <f t="shared" si="311"/>
        <v>27000.400000000001</v>
      </c>
      <c r="K511" s="1"/>
      <c r="L511" s="1">
        <f t="shared" ref="L511:L517" si="312">H511+K511</f>
        <v>27000.400000000001</v>
      </c>
      <c r="N511" s="1">
        <f t="shared" si="307"/>
        <v>27000.400000000001</v>
      </c>
      <c r="O511" s="1"/>
      <c r="P511" s="3"/>
      <c r="Q511" s="1">
        <f t="shared" si="308"/>
        <v>27000.400000000001</v>
      </c>
      <c r="R511" s="3"/>
      <c r="S511" s="3"/>
      <c r="T511" s="1">
        <f t="shared" si="295"/>
        <v>27000.400000000001</v>
      </c>
      <c r="U511" s="41">
        <v>32000</v>
      </c>
      <c r="V511" s="1">
        <f t="shared" si="296"/>
        <v>4999.5999999999985</v>
      </c>
      <c r="W511" s="1">
        <f t="shared" si="297"/>
        <v>32000</v>
      </c>
      <c r="X511" s="41">
        <v>32000</v>
      </c>
      <c r="Y511" s="41">
        <f t="shared" si="298"/>
        <v>0</v>
      </c>
      <c r="Z511" s="1">
        <f t="shared" si="299"/>
        <v>32000</v>
      </c>
      <c r="AA511" s="41">
        <v>35000</v>
      </c>
      <c r="AB511" s="41">
        <f t="shared" si="300"/>
        <v>3000</v>
      </c>
      <c r="AC511" s="1">
        <f t="shared" si="301"/>
        <v>35000</v>
      </c>
      <c r="AD511" s="41">
        <v>35000</v>
      </c>
      <c r="AE511" s="1">
        <f t="shared" si="278"/>
        <v>0</v>
      </c>
      <c r="AF511" s="1">
        <f t="shared" si="279"/>
        <v>35000</v>
      </c>
    </row>
    <row r="512" spans="1:32">
      <c r="A512" s="11">
        <v>33400</v>
      </c>
      <c r="B512" s="11">
        <v>22103</v>
      </c>
      <c r="C512" s="11" t="s">
        <v>425</v>
      </c>
      <c r="D512" s="7">
        <v>160</v>
      </c>
      <c r="E512" s="7"/>
      <c r="F512" s="7">
        <f t="shared" si="309"/>
        <v>160</v>
      </c>
      <c r="G512" s="7"/>
      <c r="H512" s="7">
        <f t="shared" si="310"/>
        <v>160</v>
      </c>
      <c r="I512" s="1"/>
      <c r="J512" s="1">
        <f t="shared" si="311"/>
        <v>160</v>
      </c>
      <c r="K512" s="1"/>
      <c r="L512" s="1">
        <f t="shared" si="312"/>
        <v>160</v>
      </c>
      <c r="N512" s="1">
        <f t="shared" si="307"/>
        <v>160</v>
      </c>
      <c r="O512" s="1"/>
      <c r="Q512" s="1">
        <f t="shared" si="308"/>
        <v>160</v>
      </c>
      <c r="T512" s="1">
        <f t="shared" si="295"/>
        <v>160</v>
      </c>
      <c r="U512" s="1">
        <f t="shared" ref="U512:U519" si="313">R512+T512</f>
        <v>160</v>
      </c>
      <c r="V512" s="1">
        <f t="shared" si="296"/>
        <v>0</v>
      </c>
      <c r="W512" s="1">
        <f t="shared" si="297"/>
        <v>160</v>
      </c>
      <c r="X512" s="1">
        <v>160</v>
      </c>
      <c r="Y512" s="41">
        <f t="shared" si="298"/>
        <v>0</v>
      </c>
      <c r="Z512" s="1">
        <f t="shared" si="299"/>
        <v>160</v>
      </c>
      <c r="AA512" s="1">
        <v>160</v>
      </c>
      <c r="AB512" s="1">
        <f t="shared" si="300"/>
        <v>0</v>
      </c>
      <c r="AC512" s="1">
        <f t="shared" si="301"/>
        <v>160</v>
      </c>
      <c r="AD512" s="41">
        <v>160</v>
      </c>
      <c r="AE512" s="1">
        <f t="shared" si="278"/>
        <v>0</v>
      </c>
      <c r="AF512" s="1">
        <f t="shared" si="279"/>
        <v>160</v>
      </c>
    </row>
    <row r="513" spans="1:32">
      <c r="A513" s="11">
        <v>33700</v>
      </c>
      <c r="B513" s="11">
        <v>22103</v>
      </c>
      <c r="C513" s="11" t="s">
        <v>490</v>
      </c>
      <c r="D513" s="7">
        <v>1440</v>
      </c>
      <c r="E513" s="7"/>
      <c r="F513" s="7">
        <f t="shared" si="309"/>
        <v>1440</v>
      </c>
      <c r="G513" s="7"/>
      <c r="H513" s="7">
        <f t="shared" si="310"/>
        <v>1440</v>
      </c>
      <c r="I513" s="1"/>
      <c r="J513" s="1">
        <f t="shared" si="311"/>
        <v>1440</v>
      </c>
      <c r="K513" s="1"/>
      <c r="L513" s="1">
        <f t="shared" si="312"/>
        <v>1440</v>
      </c>
      <c r="N513" s="1">
        <f t="shared" si="307"/>
        <v>1440</v>
      </c>
      <c r="O513" s="1"/>
      <c r="Q513" s="1">
        <f t="shared" si="308"/>
        <v>1440</v>
      </c>
      <c r="T513" s="1">
        <f t="shared" si="295"/>
        <v>1440</v>
      </c>
      <c r="U513" s="1">
        <f t="shared" si="313"/>
        <v>1440</v>
      </c>
      <c r="V513" s="1">
        <f t="shared" si="296"/>
        <v>0</v>
      </c>
      <c r="W513" s="1">
        <f t="shared" si="297"/>
        <v>1440</v>
      </c>
      <c r="X513" s="1">
        <v>0</v>
      </c>
      <c r="Y513" s="41">
        <f t="shared" si="298"/>
        <v>-1440</v>
      </c>
      <c r="Z513" s="1">
        <f t="shared" si="299"/>
        <v>0</v>
      </c>
      <c r="AA513" s="1">
        <v>0</v>
      </c>
      <c r="AB513" s="1">
        <f t="shared" si="300"/>
        <v>0</v>
      </c>
      <c r="AC513" s="1">
        <f t="shared" si="301"/>
        <v>0</v>
      </c>
      <c r="AD513" s="41">
        <v>0</v>
      </c>
      <c r="AE513" s="1">
        <f t="shared" si="278"/>
        <v>0</v>
      </c>
      <c r="AF513" s="1">
        <f t="shared" si="279"/>
        <v>0</v>
      </c>
    </row>
    <row r="514" spans="1:32">
      <c r="A514" s="11">
        <v>34000</v>
      </c>
      <c r="B514" s="11">
        <v>22103</v>
      </c>
      <c r="C514" s="11" t="s">
        <v>445</v>
      </c>
      <c r="D514" s="7">
        <v>12000</v>
      </c>
      <c r="E514" s="7"/>
      <c r="F514" s="7">
        <f t="shared" si="309"/>
        <v>12000</v>
      </c>
      <c r="G514" s="7">
        <v>-2000</v>
      </c>
      <c r="H514" s="7">
        <f t="shared" si="310"/>
        <v>10000</v>
      </c>
      <c r="I514" s="1"/>
      <c r="J514" s="1">
        <f t="shared" si="311"/>
        <v>10000</v>
      </c>
      <c r="K514" s="1"/>
      <c r="L514" s="1">
        <f t="shared" si="312"/>
        <v>10000</v>
      </c>
      <c r="N514" s="1">
        <f t="shared" si="307"/>
        <v>10000</v>
      </c>
      <c r="O514" s="1"/>
      <c r="Q514" s="1">
        <f t="shared" si="308"/>
        <v>10000</v>
      </c>
      <c r="T514" s="1">
        <f t="shared" si="295"/>
        <v>10000</v>
      </c>
      <c r="U514" s="1">
        <f t="shared" si="313"/>
        <v>10000</v>
      </c>
      <c r="V514" s="1">
        <f t="shared" si="296"/>
        <v>0</v>
      </c>
      <c r="W514" s="1">
        <f t="shared" si="297"/>
        <v>10000</v>
      </c>
      <c r="X514" s="1">
        <v>10000</v>
      </c>
      <c r="Y514" s="41">
        <f t="shared" si="298"/>
        <v>0</v>
      </c>
      <c r="Z514" s="1">
        <f t="shared" si="299"/>
        <v>10000</v>
      </c>
      <c r="AA514" s="1">
        <v>15000</v>
      </c>
      <c r="AB514" s="1">
        <f t="shared" si="300"/>
        <v>5000</v>
      </c>
      <c r="AC514" s="1">
        <f t="shared" si="301"/>
        <v>15000</v>
      </c>
      <c r="AD514" s="41">
        <v>15000</v>
      </c>
      <c r="AE514" s="1">
        <f t="shared" si="278"/>
        <v>0</v>
      </c>
      <c r="AF514" s="1">
        <f t="shared" si="279"/>
        <v>15000</v>
      </c>
    </row>
    <row r="515" spans="1:32">
      <c r="A515" s="11">
        <v>45900</v>
      </c>
      <c r="B515" s="11">
        <v>22103</v>
      </c>
      <c r="C515" s="11" t="s">
        <v>174</v>
      </c>
      <c r="D515" s="7">
        <v>9856.6</v>
      </c>
      <c r="E515" s="7"/>
      <c r="F515" s="7">
        <f t="shared" si="309"/>
        <v>9856.6</v>
      </c>
      <c r="G515" s="7">
        <v>-1856.6</v>
      </c>
      <c r="H515" s="7">
        <f t="shared" si="310"/>
        <v>8000</v>
      </c>
      <c r="I515" s="1"/>
      <c r="J515" s="1">
        <f t="shared" si="311"/>
        <v>8000</v>
      </c>
      <c r="K515" s="1"/>
      <c r="L515" s="1">
        <f t="shared" si="312"/>
        <v>8000</v>
      </c>
      <c r="N515" s="1">
        <f t="shared" si="307"/>
        <v>8000</v>
      </c>
      <c r="O515" s="1"/>
      <c r="Q515" s="1">
        <f t="shared" si="308"/>
        <v>8000</v>
      </c>
      <c r="T515" s="1">
        <f t="shared" si="295"/>
        <v>8000</v>
      </c>
      <c r="U515" s="1">
        <f t="shared" si="313"/>
        <v>8000</v>
      </c>
      <c r="V515" s="1">
        <f t="shared" si="296"/>
        <v>0</v>
      </c>
      <c r="W515" s="1">
        <f t="shared" si="297"/>
        <v>8000</v>
      </c>
      <c r="X515" s="1">
        <v>12000</v>
      </c>
      <c r="Y515" s="41">
        <f t="shared" si="298"/>
        <v>4000</v>
      </c>
      <c r="Z515" s="1">
        <f t="shared" si="299"/>
        <v>12000</v>
      </c>
      <c r="AA515" s="1">
        <v>12000</v>
      </c>
      <c r="AB515" s="1">
        <f t="shared" si="300"/>
        <v>0</v>
      </c>
      <c r="AC515" s="1">
        <f t="shared" si="301"/>
        <v>12000</v>
      </c>
      <c r="AD515" s="41">
        <v>12000</v>
      </c>
      <c r="AE515" s="1">
        <f t="shared" si="278"/>
        <v>0</v>
      </c>
      <c r="AF515" s="1">
        <f t="shared" si="279"/>
        <v>12000</v>
      </c>
    </row>
    <row r="516" spans="1:32">
      <c r="A516" s="11">
        <v>91200</v>
      </c>
      <c r="B516" s="11">
        <v>22103</v>
      </c>
      <c r="C516" s="11" t="s">
        <v>231</v>
      </c>
      <c r="D516" s="7">
        <v>2355.9699999999998</v>
      </c>
      <c r="E516" s="7"/>
      <c r="F516" s="7">
        <f t="shared" si="309"/>
        <v>2355.9699999999998</v>
      </c>
      <c r="G516" s="7">
        <v>2000</v>
      </c>
      <c r="H516" s="7">
        <f t="shared" si="310"/>
        <v>4355.9699999999993</v>
      </c>
      <c r="I516" s="1"/>
      <c r="J516" s="1">
        <f t="shared" si="311"/>
        <v>4355.9699999999993</v>
      </c>
      <c r="K516" s="1"/>
      <c r="L516" s="1">
        <f t="shared" si="312"/>
        <v>4355.9699999999993</v>
      </c>
      <c r="N516" s="1">
        <f t="shared" si="307"/>
        <v>4355.9699999999993</v>
      </c>
      <c r="O516" s="1"/>
      <c r="Q516" s="1">
        <f t="shared" si="308"/>
        <v>4355.9699999999993</v>
      </c>
      <c r="T516" s="1">
        <f t="shared" si="295"/>
        <v>4355.9699999999993</v>
      </c>
      <c r="U516" s="1">
        <f t="shared" si="313"/>
        <v>4355.9699999999993</v>
      </c>
      <c r="V516" s="1">
        <f t="shared" si="296"/>
        <v>0</v>
      </c>
      <c r="W516" s="1">
        <f t="shared" si="297"/>
        <v>4355.9699999999993</v>
      </c>
      <c r="X516" s="1">
        <v>4000</v>
      </c>
      <c r="Y516" s="41">
        <f t="shared" si="298"/>
        <v>-355.96999999999935</v>
      </c>
      <c r="Z516" s="1">
        <f t="shared" si="299"/>
        <v>4000</v>
      </c>
      <c r="AA516" s="41">
        <v>4000</v>
      </c>
      <c r="AB516" s="1">
        <f t="shared" si="300"/>
        <v>0</v>
      </c>
      <c r="AC516" s="1">
        <f t="shared" si="301"/>
        <v>4000</v>
      </c>
      <c r="AD516" s="41">
        <v>0</v>
      </c>
      <c r="AE516" s="1">
        <f t="shared" si="278"/>
        <v>-4000</v>
      </c>
      <c r="AF516" s="1">
        <f t="shared" si="279"/>
        <v>0</v>
      </c>
    </row>
    <row r="517" spans="1:32">
      <c r="A517" s="11">
        <v>92000</v>
      </c>
      <c r="B517" s="11">
        <v>22103</v>
      </c>
      <c r="C517" s="11" t="s">
        <v>249</v>
      </c>
      <c r="D517" s="7">
        <v>942.98</v>
      </c>
      <c r="E517" s="7"/>
      <c r="F517" s="7">
        <f t="shared" si="309"/>
        <v>942.98</v>
      </c>
      <c r="G517" s="7"/>
      <c r="H517" s="7">
        <f t="shared" si="310"/>
        <v>942.98</v>
      </c>
      <c r="I517" s="1"/>
      <c r="J517" s="1">
        <f t="shared" si="311"/>
        <v>942.98</v>
      </c>
      <c r="K517" s="1"/>
      <c r="L517" s="1">
        <f t="shared" si="312"/>
        <v>942.98</v>
      </c>
      <c r="N517" s="1">
        <f t="shared" si="307"/>
        <v>942.98</v>
      </c>
      <c r="O517" s="1"/>
      <c r="P517" s="3"/>
      <c r="Q517" s="1">
        <f t="shared" si="308"/>
        <v>942.98</v>
      </c>
      <c r="R517" s="3"/>
      <c r="S517" s="41">
        <v>-542.98</v>
      </c>
      <c r="T517" s="1">
        <f t="shared" si="295"/>
        <v>400</v>
      </c>
      <c r="U517" s="1">
        <f t="shared" si="313"/>
        <v>400</v>
      </c>
      <c r="V517" s="1">
        <f t="shared" si="296"/>
        <v>0</v>
      </c>
      <c r="W517" s="1">
        <f t="shared" si="297"/>
        <v>400</v>
      </c>
      <c r="X517" s="41">
        <v>400</v>
      </c>
      <c r="Y517" s="41">
        <f t="shared" si="298"/>
        <v>0</v>
      </c>
      <c r="Z517" s="1">
        <f t="shared" si="299"/>
        <v>400</v>
      </c>
      <c r="AA517" s="41">
        <v>400</v>
      </c>
      <c r="AB517" s="1">
        <f t="shared" si="300"/>
        <v>0</v>
      </c>
      <c r="AC517" s="1">
        <f t="shared" si="301"/>
        <v>400</v>
      </c>
      <c r="AD517" s="41">
        <v>300</v>
      </c>
      <c r="AE517" s="1">
        <f t="shared" si="278"/>
        <v>-100</v>
      </c>
      <c r="AF517" s="1">
        <f t="shared" si="279"/>
        <v>300</v>
      </c>
    </row>
    <row r="518" spans="1:32">
      <c r="A518" s="11">
        <v>92600</v>
      </c>
      <c r="B518" s="11">
        <v>22103</v>
      </c>
      <c r="C518" s="11" t="s">
        <v>291</v>
      </c>
      <c r="D518" s="7">
        <v>200</v>
      </c>
      <c r="E518" s="7"/>
      <c r="F518" s="7">
        <f t="shared" si="309"/>
        <v>200</v>
      </c>
      <c r="G518" s="7"/>
      <c r="H518" s="7">
        <f t="shared" si="310"/>
        <v>200</v>
      </c>
      <c r="I518" s="7"/>
      <c r="J518" s="7">
        <f t="shared" si="311"/>
        <v>200</v>
      </c>
      <c r="K518" s="7"/>
      <c r="L518" s="7">
        <v>200</v>
      </c>
      <c r="M518" s="7">
        <v>0</v>
      </c>
      <c r="N518" s="7">
        <f t="shared" si="307"/>
        <v>200</v>
      </c>
      <c r="O518" s="7"/>
      <c r="Q518" s="1">
        <f t="shared" si="308"/>
        <v>200</v>
      </c>
      <c r="T518" s="1">
        <f t="shared" si="295"/>
        <v>200</v>
      </c>
      <c r="U518" s="1">
        <f t="shared" si="313"/>
        <v>200</v>
      </c>
      <c r="V518" s="1">
        <f t="shared" si="296"/>
        <v>0</v>
      </c>
      <c r="W518" s="1">
        <f t="shared" si="297"/>
        <v>200</v>
      </c>
      <c r="X518" s="1">
        <v>200</v>
      </c>
      <c r="Y518" s="41">
        <f t="shared" si="298"/>
        <v>0</v>
      </c>
      <c r="Z518" s="1">
        <f t="shared" si="299"/>
        <v>200</v>
      </c>
      <c r="AA518" s="1">
        <v>200</v>
      </c>
      <c r="AB518" s="1">
        <f t="shared" si="300"/>
        <v>0</v>
      </c>
      <c r="AC518" s="1">
        <f t="shared" si="301"/>
        <v>200</v>
      </c>
      <c r="AD518" s="41">
        <v>100</v>
      </c>
      <c r="AE518" s="1">
        <f t="shared" si="278"/>
        <v>-100</v>
      </c>
      <c r="AF518" s="1">
        <f t="shared" si="279"/>
        <v>100</v>
      </c>
    </row>
    <row r="519" spans="1:32">
      <c r="A519" s="11">
        <v>13200</v>
      </c>
      <c r="B519" s="11">
        <v>22104</v>
      </c>
      <c r="C519" s="11" t="s">
        <v>306</v>
      </c>
      <c r="D519" s="7">
        <v>60000</v>
      </c>
      <c r="E519" s="7">
        <v>40000</v>
      </c>
      <c r="F519" s="7">
        <f t="shared" si="309"/>
        <v>20000</v>
      </c>
      <c r="G519" s="7">
        <v>-20000</v>
      </c>
      <c r="H519" s="7">
        <f t="shared" si="310"/>
        <v>40000</v>
      </c>
      <c r="I519" s="1"/>
      <c r="J519" s="1">
        <f t="shared" si="311"/>
        <v>40000</v>
      </c>
      <c r="K519" s="1"/>
      <c r="L519" s="1">
        <f>H519+K519</f>
        <v>40000</v>
      </c>
      <c r="N519" s="1">
        <f t="shared" si="307"/>
        <v>40000</v>
      </c>
      <c r="O519" s="1"/>
      <c r="Q519" s="1">
        <f t="shared" si="308"/>
        <v>40000</v>
      </c>
      <c r="T519" s="1">
        <f t="shared" si="295"/>
        <v>40000</v>
      </c>
      <c r="U519" s="1">
        <f t="shared" si="313"/>
        <v>40000</v>
      </c>
      <c r="V519" s="1">
        <f t="shared" si="296"/>
        <v>0</v>
      </c>
      <c r="W519" s="1">
        <f t="shared" si="297"/>
        <v>40000</v>
      </c>
      <c r="X519" s="1">
        <v>63000</v>
      </c>
      <c r="Y519" s="41">
        <f t="shared" si="298"/>
        <v>23000</v>
      </c>
      <c r="Z519" s="1">
        <f t="shared" si="299"/>
        <v>63000</v>
      </c>
      <c r="AA519" s="1">
        <v>85000</v>
      </c>
      <c r="AB519" s="1">
        <f t="shared" si="300"/>
        <v>22000</v>
      </c>
      <c r="AC519" s="1">
        <f t="shared" si="301"/>
        <v>85000</v>
      </c>
      <c r="AD519" s="41">
        <v>85000</v>
      </c>
      <c r="AE519" s="1">
        <f t="shared" ref="AE519:AE581" si="314">AD519-AC519</f>
        <v>0</v>
      </c>
      <c r="AF519" s="1">
        <f t="shared" ref="AF519:AF581" si="315">AC519+AE519</f>
        <v>85000</v>
      </c>
    </row>
    <row r="520" spans="1:32">
      <c r="A520" s="13">
        <v>13500</v>
      </c>
      <c r="B520" s="11">
        <v>22104</v>
      </c>
      <c r="C520" s="11" t="s">
        <v>313</v>
      </c>
      <c r="D520" s="7">
        <v>3000</v>
      </c>
      <c r="E520" s="7"/>
      <c r="F520" s="7">
        <f t="shared" si="309"/>
        <v>3000</v>
      </c>
      <c r="G520" s="7"/>
      <c r="H520" s="7">
        <f t="shared" si="310"/>
        <v>3000</v>
      </c>
      <c r="I520" s="1"/>
      <c r="J520" s="1">
        <f t="shared" si="311"/>
        <v>3000</v>
      </c>
      <c r="K520" s="1"/>
      <c r="L520" s="1">
        <f>H520+K520</f>
        <v>3000</v>
      </c>
      <c r="N520" s="1">
        <f t="shared" si="307"/>
        <v>3000</v>
      </c>
      <c r="O520" s="1"/>
      <c r="Q520" s="1">
        <f t="shared" si="308"/>
        <v>3000</v>
      </c>
      <c r="T520" s="1">
        <f t="shared" si="295"/>
        <v>3000</v>
      </c>
      <c r="U520" s="1">
        <v>9000</v>
      </c>
      <c r="V520" s="1">
        <f t="shared" si="296"/>
        <v>6000</v>
      </c>
      <c r="W520" s="1">
        <f t="shared" si="297"/>
        <v>9000</v>
      </c>
      <c r="X520" s="1">
        <v>12000</v>
      </c>
      <c r="Y520" s="41">
        <f t="shared" si="298"/>
        <v>3000</v>
      </c>
      <c r="Z520" s="1">
        <f t="shared" si="299"/>
        <v>12000</v>
      </c>
      <c r="AA520" s="1">
        <v>12000</v>
      </c>
      <c r="AB520" s="41">
        <f t="shared" si="300"/>
        <v>0</v>
      </c>
      <c r="AC520" s="1">
        <f t="shared" si="301"/>
        <v>12000</v>
      </c>
      <c r="AD520" s="41">
        <v>12000</v>
      </c>
      <c r="AE520" s="1">
        <f t="shared" si="314"/>
        <v>0</v>
      </c>
      <c r="AF520" s="1">
        <f t="shared" si="315"/>
        <v>12000</v>
      </c>
    </row>
    <row r="521" spans="1:32">
      <c r="A521" s="13">
        <v>17000</v>
      </c>
      <c r="B521" s="11">
        <v>22104</v>
      </c>
      <c r="C521" s="11" t="s">
        <v>377</v>
      </c>
      <c r="D521" s="7">
        <v>3000</v>
      </c>
      <c r="E521" s="7"/>
      <c r="F521" s="7">
        <f t="shared" si="309"/>
        <v>3000</v>
      </c>
      <c r="G521" s="7"/>
      <c r="H521" s="7">
        <f t="shared" si="310"/>
        <v>3000</v>
      </c>
      <c r="I521" s="1"/>
      <c r="J521" s="1">
        <f t="shared" si="311"/>
        <v>3000</v>
      </c>
      <c r="K521" s="1"/>
      <c r="L521" s="1">
        <f>H521+K521</f>
        <v>3000</v>
      </c>
      <c r="M521" s="7">
        <v>-3000</v>
      </c>
      <c r="N521" s="1">
        <f t="shared" si="307"/>
        <v>0</v>
      </c>
      <c r="O521" s="1"/>
      <c r="Q521" s="1">
        <f t="shared" si="308"/>
        <v>0</v>
      </c>
      <c r="T521" s="1">
        <f t="shared" si="295"/>
        <v>0</v>
      </c>
      <c r="U521" s="1">
        <f>R521+T521</f>
        <v>0</v>
      </c>
      <c r="V521" s="1">
        <f t="shared" si="296"/>
        <v>0</v>
      </c>
      <c r="W521" s="1">
        <f t="shared" si="297"/>
        <v>0</v>
      </c>
      <c r="X521" s="1">
        <v>0</v>
      </c>
      <c r="Y521" s="41">
        <f t="shared" si="298"/>
        <v>0</v>
      </c>
      <c r="Z521" s="1">
        <f t="shared" si="299"/>
        <v>0</v>
      </c>
      <c r="AA521" s="1">
        <v>0</v>
      </c>
      <c r="AB521" s="1">
        <f t="shared" si="300"/>
        <v>0</v>
      </c>
      <c r="AC521" s="1">
        <f t="shared" si="301"/>
        <v>0</v>
      </c>
      <c r="AD521" s="41">
        <v>1000</v>
      </c>
      <c r="AE521" s="1">
        <f t="shared" si="314"/>
        <v>1000</v>
      </c>
      <c r="AF521" s="1">
        <f t="shared" si="315"/>
        <v>1000</v>
      </c>
    </row>
    <row r="522" spans="1:32">
      <c r="A522" s="13">
        <v>17100</v>
      </c>
      <c r="B522" s="11">
        <v>22104</v>
      </c>
      <c r="C522" s="11" t="s">
        <v>399</v>
      </c>
      <c r="D522" s="7">
        <v>6400</v>
      </c>
      <c r="E522" s="7"/>
      <c r="F522" s="7">
        <f t="shared" si="309"/>
        <v>6400</v>
      </c>
      <c r="G522" s="7"/>
      <c r="H522" s="7">
        <f t="shared" si="310"/>
        <v>6400</v>
      </c>
      <c r="I522" s="1"/>
      <c r="J522" s="1">
        <f t="shared" si="311"/>
        <v>6400</v>
      </c>
      <c r="K522" s="1"/>
      <c r="L522" s="1">
        <f>H522+K522</f>
        <v>6400</v>
      </c>
      <c r="M522" s="7">
        <v>-4400</v>
      </c>
      <c r="N522" s="1">
        <f t="shared" si="307"/>
        <v>2000</v>
      </c>
      <c r="O522" s="1"/>
      <c r="Q522" s="1">
        <f t="shared" si="308"/>
        <v>2000</v>
      </c>
      <c r="T522" s="1">
        <f t="shared" si="295"/>
        <v>2000</v>
      </c>
      <c r="U522" s="1">
        <v>4000</v>
      </c>
      <c r="V522" s="1">
        <f t="shared" si="296"/>
        <v>2000</v>
      </c>
      <c r="W522" s="1">
        <f t="shared" si="297"/>
        <v>4000</v>
      </c>
      <c r="X522" s="1">
        <v>6000</v>
      </c>
      <c r="Y522" s="41">
        <f t="shared" si="298"/>
        <v>2000</v>
      </c>
      <c r="Z522" s="1">
        <f t="shared" si="299"/>
        <v>6000</v>
      </c>
      <c r="AA522" s="1">
        <v>6000</v>
      </c>
      <c r="AB522" s="1">
        <f t="shared" si="300"/>
        <v>0</v>
      </c>
      <c r="AC522" s="1">
        <f t="shared" si="301"/>
        <v>6000</v>
      </c>
      <c r="AD522" s="41">
        <v>5000</v>
      </c>
      <c r="AE522" s="1">
        <f t="shared" si="314"/>
        <v>-1000</v>
      </c>
      <c r="AF522" s="1">
        <f t="shared" si="315"/>
        <v>5000</v>
      </c>
    </row>
    <row r="523" spans="1:32">
      <c r="A523" s="42">
        <v>23113</v>
      </c>
      <c r="B523" s="11">
        <v>22104</v>
      </c>
      <c r="C523" s="11" t="s">
        <v>351</v>
      </c>
      <c r="D523" s="7">
        <v>7725</v>
      </c>
      <c r="E523" s="7">
        <v>6500</v>
      </c>
      <c r="F523" s="7">
        <f t="shared" si="309"/>
        <v>1225</v>
      </c>
      <c r="G523" s="7">
        <v>-1225</v>
      </c>
      <c r="H523" s="7">
        <f t="shared" si="310"/>
        <v>6500</v>
      </c>
      <c r="I523" s="7"/>
      <c r="J523" s="7">
        <f t="shared" si="311"/>
        <v>6500</v>
      </c>
      <c r="K523" s="7"/>
      <c r="L523" s="7">
        <v>6500</v>
      </c>
      <c r="M523" s="7">
        <v>0</v>
      </c>
      <c r="N523" s="7">
        <f t="shared" si="307"/>
        <v>6500</v>
      </c>
      <c r="O523" s="7"/>
      <c r="P523" s="3"/>
      <c r="Q523" s="1">
        <f t="shared" si="308"/>
        <v>6500</v>
      </c>
      <c r="R523" s="3"/>
      <c r="S523" s="3"/>
      <c r="T523" s="1">
        <f t="shared" si="295"/>
        <v>6500</v>
      </c>
      <c r="U523" s="1">
        <f t="shared" ref="U523:U530" si="316">R523+T523</f>
        <v>6500</v>
      </c>
      <c r="V523" s="1">
        <f t="shared" si="296"/>
        <v>0</v>
      </c>
      <c r="W523" s="1">
        <f t="shared" si="297"/>
        <v>6500</v>
      </c>
      <c r="X523" s="41">
        <v>1000</v>
      </c>
      <c r="Y523" s="41">
        <f t="shared" si="298"/>
        <v>-5500</v>
      </c>
      <c r="Z523" s="1">
        <f t="shared" si="299"/>
        <v>1000</v>
      </c>
      <c r="AA523" s="41">
        <v>6000</v>
      </c>
      <c r="AB523" s="41">
        <f t="shared" si="300"/>
        <v>5000</v>
      </c>
      <c r="AC523" s="1">
        <f t="shared" si="301"/>
        <v>6000</v>
      </c>
      <c r="AD523" s="41">
        <v>6000</v>
      </c>
      <c r="AE523" s="1">
        <f t="shared" si="314"/>
        <v>0</v>
      </c>
      <c r="AF523" s="1">
        <f t="shared" si="315"/>
        <v>6000</v>
      </c>
    </row>
    <row r="524" spans="1:32">
      <c r="A524" s="11">
        <v>32000</v>
      </c>
      <c r="B524" s="11">
        <v>22104</v>
      </c>
      <c r="C524" s="11" t="s">
        <v>368</v>
      </c>
      <c r="D524" s="7">
        <v>1600</v>
      </c>
      <c r="E524" s="7"/>
      <c r="F524" s="7">
        <f t="shared" si="309"/>
        <v>1600</v>
      </c>
      <c r="G524" s="7"/>
      <c r="H524" s="7">
        <f t="shared" si="310"/>
        <v>1600</v>
      </c>
      <c r="I524" s="1"/>
      <c r="J524" s="1">
        <f t="shared" si="311"/>
        <v>1600</v>
      </c>
      <c r="K524" s="1"/>
      <c r="L524" s="1">
        <f>H524+K524</f>
        <v>1600</v>
      </c>
      <c r="N524" s="1">
        <f t="shared" si="307"/>
        <v>1600</v>
      </c>
      <c r="O524" s="1"/>
      <c r="P524" s="3"/>
      <c r="Q524" s="1">
        <f t="shared" si="308"/>
        <v>1600</v>
      </c>
      <c r="R524" s="3"/>
      <c r="S524" s="3"/>
      <c r="T524" s="1">
        <f t="shared" si="295"/>
        <v>1600</v>
      </c>
      <c r="U524" s="1">
        <f t="shared" si="316"/>
        <v>1600</v>
      </c>
      <c r="V524" s="1">
        <f t="shared" si="296"/>
        <v>0</v>
      </c>
      <c r="W524" s="1">
        <f t="shared" si="297"/>
        <v>1600</v>
      </c>
      <c r="X524" s="41">
        <v>2000</v>
      </c>
      <c r="Y524" s="41">
        <f t="shared" si="298"/>
        <v>400</v>
      </c>
      <c r="Z524" s="1">
        <f t="shared" si="299"/>
        <v>2000</v>
      </c>
      <c r="AA524" s="41">
        <v>2600</v>
      </c>
      <c r="AB524" s="41">
        <f t="shared" si="300"/>
        <v>600</v>
      </c>
      <c r="AC524" s="1">
        <f t="shared" si="301"/>
        <v>2600</v>
      </c>
      <c r="AD524" s="41">
        <v>2000</v>
      </c>
      <c r="AE524" s="1">
        <f t="shared" si="314"/>
        <v>-600</v>
      </c>
      <c r="AF524" s="1">
        <f t="shared" si="315"/>
        <v>2000</v>
      </c>
    </row>
    <row r="525" spans="1:32">
      <c r="A525" s="11">
        <v>34000</v>
      </c>
      <c r="B525" s="11">
        <v>22104</v>
      </c>
      <c r="C525" s="11" t="s">
        <v>446</v>
      </c>
      <c r="D525" s="7">
        <v>3200</v>
      </c>
      <c r="E525" s="7"/>
      <c r="F525" s="7">
        <f t="shared" si="309"/>
        <v>3200</v>
      </c>
      <c r="G525" s="7">
        <v>-1200</v>
      </c>
      <c r="H525" s="7">
        <f t="shared" si="310"/>
        <v>2000</v>
      </c>
      <c r="I525" s="1"/>
      <c r="J525" s="1">
        <f t="shared" si="311"/>
        <v>2000</v>
      </c>
      <c r="K525" s="1"/>
      <c r="L525" s="1">
        <f>H525+K525</f>
        <v>2000</v>
      </c>
      <c r="N525" s="1">
        <f t="shared" si="307"/>
        <v>2000</v>
      </c>
      <c r="O525" s="1"/>
      <c r="Q525" s="1">
        <f t="shared" si="308"/>
        <v>2000</v>
      </c>
      <c r="T525" s="1">
        <f t="shared" si="295"/>
        <v>2000</v>
      </c>
      <c r="U525" s="1">
        <f t="shared" si="316"/>
        <v>2000</v>
      </c>
      <c r="V525" s="1">
        <f t="shared" si="296"/>
        <v>0</v>
      </c>
      <c r="W525" s="1">
        <f t="shared" si="297"/>
        <v>2000</v>
      </c>
      <c r="X525" s="1">
        <v>2000</v>
      </c>
      <c r="Y525" s="41">
        <f t="shared" si="298"/>
        <v>0</v>
      </c>
      <c r="Z525" s="1">
        <f t="shared" si="299"/>
        <v>2000</v>
      </c>
      <c r="AA525" s="1">
        <v>6000</v>
      </c>
      <c r="AB525" s="1">
        <f t="shared" si="300"/>
        <v>4000</v>
      </c>
      <c r="AC525" s="1">
        <f t="shared" si="301"/>
        <v>6000</v>
      </c>
      <c r="AD525" s="41">
        <v>7000</v>
      </c>
      <c r="AE525" s="1">
        <f t="shared" si="314"/>
        <v>1000</v>
      </c>
      <c r="AF525" s="1">
        <f t="shared" si="315"/>
        <v>7000</v>
      </c>
    </row>
    <row r="526" spans="1:32">
      <c r="A526" s="13">
        <v>43200</v>
      </c>
      <c r="B526" s="11">
        <v>22104</v>
      </c>
      <c r="C526" s="11" t="s">
        <v>518</v>
      </c>
      <c r="D526" s="7">
        <v>2448</v>
      </c>
      <c r="E526" s="7"/>
      <c r="F526" s="7">
        <f t="shared" si="309"/>
        <v>2448</v>
      </c>
      <c r="G526" s="7">
        <v>-1448</v>
      </c>
      <c r="H526" s="7">
        <f t="shared" si="310"/>
        <v>1000</v>
      </c>
      <c r="I526" s="1"/>
      <c r="J526" s="1">
        <f t="shared" si="311"/>
        <v>1000</v>
      </c>
      <c r="K526" s="1"/>
      <c r="L526" s="1">
        <f>H526+K526</f>
        <v>1000</v>
      </c>
      <c r="M526" s="7">
        <v>-1000</v>
      </c>
      <c r="N526" s="1">
        <f t="shared" si="307"/>
        <v>0</v>
      </c>
      <c r="O526" s="1"/>
      <c r="P526" s="1">
        <v>2000</v>
      </c>
      <c r="Q526" s="1">
        <f t="shared" si="308"/>
        <v>2000</v>
      </c>
      <c r="T526" s="1">
        <f t="shared" si="295"/>
        <v>2000</v>
      </c>
      <c r="U526" s="1">
        <f t="shared" si="316"/>
        <v>2000</v>
      </c>
      <c r="V526" s="1">
        <f t="shared" si="296"/>
        <v>0</v>
      </c>
      <c r="W526" s="1">
        <f t="shared" si="297"/>
        <v>2000</v>
      </c>
      <c r="X526" s="1">
        <v>2000</v>
      </c>
      <c r="Y526" s="41">
        <f t="shared" si="298"/>
        <v>0</v>
      </c>
      <c r="Z526" s="1">
        <f t="shared" si="299"/>
        <v>2000</v>
      </c>
      <c r="AA526" s="1">
        <v>2000</v>
      </c>
      <c r="AB526" s="41">
        <f t="shared" si="300"/>
        <v>0</v>
      </c>
      <c r="AC526" s="1">
        <f t="shared" si="301"/>
        <v>2000</v>
      </c>
      <c r="AD526" s="41">
        <v>2000</v>
      </c>
      <c r="AE526" s="1">
        <f t="shared" si="314"/>
        <v>0</v>
      </c>
      <c r="AF526" s="1">
        <f t="shared" si="315"/>
        <v>2000</v>
      </c>
    </row>
    <row r="527" spans="1:32">
      <c r="A527" s="11">
        <v>45900</v>
      </c>
      <c r="B527" s="11">
        <v>22104</v>
      </c>
      <c r="C527" s="11" t="s">
        <v>377</v>
      </c>
      <c r="D527" s="7">
        <v>3389.02</v>
      </c>
      <c r="E527" s="7"/>
      <c r="F527" s="7">
        <f t="shared" si="309"/>
        <v>3389.02</v>
      </c>
      <c r="G527" s="7">
        <v>-1389.02</v>
      </c>
      <c r="H527" s="7">
        <f t="shared" si="310"/>
        <v>2000</v>
      </c>
      <c r="I527" s="1"/>
      <c r="J527" s="1">
        <f t="shared" si="311"/>
        <v>2000</v>
      </c>
      <c r="K527" s="1"/>
      <c r="L527" s="1">
        <f>H527+K527</f>
        <v>2000</v>
      </c>
      <c r="N527" s="1">
        <f t="shared" si="307"/>
        <v>2000</v>
      </c>
      <c r="O527" s="1"/>
      <c r="Q527" s="1">
        <f t="shared" si="308"/>
        <v>2000</v>
      </c>
      <c r="T527" s="1">
        <f t="shared" si="295"/>
        <v>2000</v>
      </c>
      <c r="U527" s="1">
        <f t="shared" si="316"/>
        <v>2000</v>
      </c>
      <c r="V527" s="1">
        <f t="shared" si="296"/>
        <v>0</v>
      </c>
      <c r="W527" s="1">
        <f t="shared" si="297"/>
        <v>2000</v>
      </c>
      <c r="X527" s="1">
        <v>3000</v>
      </c>
      <c r="Y527" s="41">
        <f t="shared" si="298"/>
        <v>1000</v>
      </c>
      <c r="Z527" s="1">
        <f t="shared" si="299"/>
        <v>3000</v>
      </c>
      <c r="AA527" s="1">
        <v>3000</v>
      </c>
      <c r="AB527" s="1">
        <f t="shared" si="300"/>
        <v>0</v>
      </c>
      <c r="AC527" s="1">
        <f t="shared" si="301"/>
        <v>3000</v>
      </c>
      <c r="AD527" s="41">
        <v>4500</v>
      </c>
      <c r="AE527" s="1">
        <f t="shared" si="314"/>
        <v>1500</v>
      </c>
      <c r="AF527" s="1">
        <f t="shared" si="315"/>
        <v>4500</v>
      </c>
    </row>
    <row r="528" spans="1:32">
      <c r="A528" s="11">
        <v>92000</v>
      </c>
      <c r="B528" s="11">
        <v>22104</v>
      </c>
      <c r="C528" s="11" t="s">
        <v>250</v>
      </c>
      <c r="D528" s="7">
        <v>2355.9699999999998</v>
      </c>
      <c r="E528" s="7"/>
      <c r="F528" s="7">
        <f t="shared" si="309"/>
        <v>2355.9699999999998</v>
      </c>
      <c r="G528" s="7"/>
      <c r="H528" s="7">
        <f t="shared" si="310"/>
        <v>2355.9699999999998</v>
      </c>
      <c r="I528" s="1"/>
      <c r="J528" s="1">
        <f t="shared" si="311"/>
        <v>2355.9699999999998</v>
      </c>
      <c r="K528" s="1"/>
      <c r="L528" s="1">
        <f>H528+K528</f>
        <v>2355.9699999999998</v>
      </c>
      <c r="N528" s="1">
        <f t="shared" si="307"/>
        <v>2355.9699999999998</v>
      </c>
      <c r="O528" s="1"/>
      <c r="P528" s="3"/>
      <c r="Q528" s="1">
        <f t="shared" si="308"/>
        <v>2355.9699999999998</v>
      </c>
      <c r="R528" s="3"/>
      <c r="S528" s="41">
        <v>-2055.9699999999998</v>
      </c>
      <c r="T528" s="1">
        <f t="shared" si="295"/>
        <v>300</v>
      </c>
      <c r="U528" s="1">
        <f t="shared" si="316"/>
        <v>300</v>
      </c>
      <c r="V528" s="1">
        <f t="shared" si="296"/>
        <v>0</v>
      </c>
      <c r="W528" s="1">
        <f t="shared" si="297"/>
        <v>300</v>
      </c>
      <c r="X528" s="41">
        <v>300</v>
      </c>
      <c r="Y528" s="41">
        <f t="shared" si="298"/>
        <v>0</v>
      </c>
      <c r="Z528" s="1">
        <f t="shared" si="299"/>
        <v>300</v>
      </c>
      <c r="AA528" s="41">
        <v>300</v>
      </c>
      <c r="AB528" s="1">
        <f t="shared" si="300"/>
        <v>0</v>
      </c>
      <c r="AC528" s="1">
        <f t="shared" si="301"/>
        <v>300</v>
      </c>
      <c r="AD528" s="41">
        <v>0</v>
      </c>
      <c r="AE528" s="1">
        <f t="shared" si="314"/>
        <v>-300</v>
      </c>
      <c r="AF528" s="1">
        <f t="shared" si="315"/>
        <v>0</v>
      </c>
    </row>
    <row r="529" spans="1:32">
      <c r="A529" s="42">
        <v>23113</v>
      </c>
      <c r="B529" s="11">
        <v>22105</v>
      </c>
      <c r="C529" s="11" t="s">
        <v>352</v>
      </c>
      <c r="D529" s="7">
        <v>150000</v>
      </c>
      <c r="E529" s="7">
        <v>150000</v>
      </c>
      <c r="F529" s="7">
        <f t="shared" si="309"/>
        <v>0</v>
      </c>
      <c r="G529" s="7">
        <v>0</v>
      </c>
      <c r="H529" s="7">
        <f t="shared" si="310"/>
        <v>150000</v>
      </c>
      <c r="I529" s="7"/>
      <c r="J529" s="7">
        <f t="shared" si="311"/>
        <v>150000</v>
      </c>
      <c r="K529" s="7"/>
      <c r="L529" s="7">
        <v>150000</v>
      </c>
      <c r="M529" s="7">
        <v>0</v>
      </c>
      <c r="N529" s="7">
        <f t="shared" si="307"/>
        <v>150000</v>
      </c>
      <c r="O529" s="7"/>
      <c r="P529" s="3"/>
      <c r="Q529" s="1">
        <f t="shared" si="308"/>
        <v>150000</v>
      </c>
      <c r="R529" s="3"/>
      <c r="S529" s="3"/>
      <c r="T529" s="1">
        <f t="shared" si="295"/>
        <v>150000</v>
      </c>
      <c r="U529" s="1">
        <f t="shared" si="316"/>
        <v>150000</v>
      </c>
      <c r="V529" s="1">
        <f t="shared" si="296"/>
        <v>0</v>
      </c>
      <c r="W529" s="1">
        <f t="shared" si="297"/>
        <v>150000</v>
      </c>
      <c r="X529" s="41">
        <v>150000</v>
      </c>
      <c r="Y529" s="41">
        <f t="shared" si="298"/>
        <v>0</v>
      </c>
      <c r="Z529" s="1">
        <f t="shared" si="299"/>
        <v>150000</v>
      </c>
      <c r="AA529" s="41">
        <v>170000</v>
      </c>
      <c r="AB529" s="41">
        <f t="shared" si="300"/>
        <v>20000</v>
      </c>
      <c r="AC529" s="1">
        <f t="shared" si="301"/>
        <v>170000</v>
      </c>
      <c r="AD529" s="41">
        <v>175000</v>
      </c>
      <c r="AE529" s="1">
        <f t="shared" si="314"/>
        <v>5000</v>
      </c>
      <c r="AF529" s="1">
        <f t="shared" si="315"/>
        <v>175000</v>
      </c>
    </row>
    <row r="530" spans="1:32">
      <c r="A530" s="42">
        <v>23113</v>
      </c>
      <c r="B530" s="11">
        <v>22106</v>
      </c>
      <c r="C530" s="11" t="s">
        <v>353</v>
      </c>
      <c r="D530" s="7">
        <v>6000</v>
      </c>
      <c r="E530" s="7">
        <v>6550</v>
      </c>
      <c r="F530" s="7">
        <f t="shared" si="309"/>
        <v>-550</v>
      </c>
      <c r="G530" s="7">
        <v>550</v>
      </c>
      <c r="H530" s="7">
        <f t="shared" si="310"/>
        <v>6550</v>
      </c>
      <c r="I530" s="7"/>
      <c r="J530" s="7">
        <f t="shared" si="311"/>
        <v>6550</v>
      </c>
      <c r="K530" s="7"/>
      <c r="L530" s="7">
        <v>6550</v>
      </c>
      <c r="M530" s="7">
        <v>0</v>
      </c>
      <c r="N530" s="7">
        <f t="shared" si="307"/>
        <v>6550</v>
      </c>
      <c r="O530" s="7"/>
      <c r="Q530" s="1">
        <f t="shared" si="308"/>
        <v>6550</v>
      </c>
      <c r="T530" s="1">
        <f t="shared" si="295"/>
        <v>6550</v>
      </c>
      <c r="U530" s="1">
        <f t="shared" si="316"/>
        <v>6550</v>
      </c>
      <c r="V530" s="1">
        <f t="shared" si="296"/>
        <v>0</v>
      </c>
      <c r="W530" s="1">
        <f t="shared" si="297"/>
        <v>6550</v>
      </c>
      <c r="X530" s="1">
        <v>9000</v>
      </c>
      <c r="Y530" s="41">
        <f t="shared" si="298"/>
        <v>2450</v>
      </c>
      <c r="Z530" s="1">
        <f t="shared" si="299"/>
        <v>9000</v>
      </c>
      <c r="AA530" s="1">
        <v>10000</v>
      </c>
      <c r="AB530" s="41">
        <f t="shared" si="300"/>
        <v>1000</v>
      </c>
      <c r="AC530" s="1">
        <f t="shared" si="301"/>
        <v>10000</v>
      </c>
      <c r="AD530" s="41">
        <v>5000</v>
      </c>
      <c r="AE530" s="1">
        <f t="shared" si="314"/>
        <v>-5000</v>
      </c>
      <c r="AF530" s="1">
        <f t="shared" si="315"/>
        <v>5000</v>
      </c>
    </row>
    <row r="531" spans="1:32">
      <c r="A531" s="11">
        <v>33400</v>
      </c>
      <c r="B531" s="77">
        <v>22110</v>
      </c>
      <c r="C531" s="78" t="s">
        <v>828</v>
      </c>
      <c r="D531" s="7"/>
      <c r="E531" s="7"/>
      <c r="F531" s="7"/>
      <c r="G531" s="7"/>
      <c r="H531" s="7"/>
      <c r="I531" s="1"/>
      <c r="J531" s="1"/>
      <c r="K531" s="1"/>
      <c r="L531" s="1"/>
      <c r="N531" s="1"/>
      <c r="O531" s="1"/>
      <c r="T531" s="1"/>
      <c r="V531" s="1"/>
      <c r="W531" s="1"/>
      <c r="Y531" s="41"/>
      <c r="Z531" s="1">
        <v>0</v>
      </c>
      <c r="AA531" s="1">
        <v>500</v>
      </c>
      <c r="AB531" s="1">
        <f t="shared" si="300"/>
        <v>500</v>
      </c>
      <c r="AC531" s="1">
        <f t="shared" si="301"/>
        <v>500</v>
      </c>
      <c r="AD531" s="41">
        <v>500</v>
      </c>
      <c r="AE531" s="1">
        <f t="shared" si="314"/>
        <v>0</v>
      </c>
      <c r="AF531" s="1">
        <f t="shared" si="315"/>
        <v>500</v>
      </c>
    </row>
    <row r="532" spans="1:32">
      <c r="A532" s="11">
        <v>34000</v>
      </c>
      <c r="B532" s="77">
        <v>22110</v>
      </c>
      <c r="C532" s="77" t="s">
        <v>447</v>
      </c>
      <c r="D532" s="7">
        <v>3280</v>
      </c>
      <c r="E532" s="7"/>
      <c r="F532" s="7">
        <f t="shared" ref="F532:F536" si="317">D532-E532</f>
        <v>3280</v>
      </c>
      <c r="G532" s="7">
        <v>-1280</v>
      </c>
      <c r="H532" s="7">
        <f t="shared" ref="H532:H536" si="318">D532+G532</f>
        <v>2000</v>
      </c>
      <c r="I532" s="1"/>
      <c r="J532" s="1">
        <f t="shared" ref="J532:J536" si="319">H532-I532</f>
        <v>2000</v>
      </c>
      <c r="K532" s="1"/>
      <c r="L532" s="1">
        <f>H532+K532</f>
        <v>2000</v>
      </c>
      <c r="N532" s="1">
        <f t="shared" ref="N532:N536" si="320">L532+M532</f>
        <v>2000</v>
      </c>
      <c r="O532" s="1"/>
      <c r="Q532" s="1">
        <f t="shared" ref="Q532:Q536" si="321">N532+P532</f>
        <v>2000</v>
      </c>
      <c r="T532" s="1">
        <f t="shared" ref="T532:U535" si="322">Q532+S532</f>
        <v>2000</v>
      </c>
      <c r="U532" s="1">
        <f t="shared" si="322"/>
        <v>2000</v>
      </c>
      <c r="V532" s="1">
        <f t="shared" ref="V532:V544" si="323">U532-T532</f>
        <v>0</v>
      </c>
      <c r="W532" s="1">
        <f t="shared" ref="W532:W544" si="324">T532+V532</f>
        <v>2000</v>
      </c>
      <c r="X532" s="1">
        <v>2000</v>
      </c>
      <c r="Y532" s="41">
        <f t="shared" ref="Y532:Y544" si="325">X532-W532</f>
        <v>0</v>
      </c>
      <c r="Z532" s="1">
        <f t="shared" ref="Z532:Z544" si="326">W532+Y532</f>
        <v>2000</v>
      </c>
      <c r="AA532" s="1">
        <v>4000</v>
      </c>
      <c r="AB532" s="1">
        <f t="shared" ref="AB532:AB562" si="327">AA532-Z532</f>
        <v>2000</v>
      </c>
      <c r="AC532" s="1">
        <f t="shared" ref="AC532:AC562" si="328">Z532+AB532</f>
        <v>4000</v>
      </c>
      <c r="AD532" s="41">
        <v>1000</v>
      </c>
      <c r="AE532" s="1">
        <f t="shared" si="314"/>
        <v>-3000</v>
      </c>
      <c r="AF532" s="1">
        <f t="shared" si="315"/>
        <v>1000</v>
      </c>
    </row>
    <row r="533" spans="1:32">
      <c r="A533" s="42">
        <v>23113</v>
      </c>
      <c r="B533" s="11">
        <v>22110</v>
      </c>
      <c r="C533" s="11" t="s">
        <v>354</v>
      </c>
      <c r="D533" s="7">
        <v>25900</v>
      </c>
      <c r="E533" s="7">
        <v>26000</v>
      </c>
      <c r="F533" s="7">
        <f t="shared" si="317"/>
        <v>-100</v>
      </c>
      <c r="G533" s="7">
        <v>100</v>
      </c>
      <c r="H533" s="7">
        <f t="shared" si="318"/>
        <v>26000</v>
      </c>
      <c r="I533" s="7"/>
      <c r="J533" s="7">
        <f t="shared" si="319"/>
        <v>26000</v>
      </c>
      <c r="K533" s="7"/>
      <c r="L533" s="7">
        <v>26000</v>
      </c>
      <c r="M533" s="7">
        <v>0</v>
      </c>
      <c r="N533" s="7">
        <f t="shared" si="320"/>
        <v>26000</v>
      </c>
      <c r="O533" s="7"/>
      <c r="Q533" s="1">
        <f t="shared" si="321"/>
        <v>26000</v>
      </c>
      <c r="T533" s="1">
        <f t="shared" si="322"/>
        <v>26000</v>
      </c>
      <c r="U533" s="1">
        <f t="shared" si="322"/>
        <v>26000</v>
      </c>
      <c r="V533" s="1">
        <f t="shared" si="323"/>
        <v>0</v>
      </c>
      <c r="W533" s="1">
        <f t="shared" si="324"/>
        <v>26000</v>
      </c>
      <c r="X533" s="1">
        <v>30000</v>
      </c>
      <c r="Y533" s="41">
        <f t="shared" si="325"/>
        <v>4000</v>
      </c>
      <c r="Z533" s="1">
        <f t="shared" si="326"/>
        <v>30000</v>
      </c>
      <c r="AA533" s="1">
        <v>35000</v>
      </c>
      <c r="AB533" s="41">
        <f t="shared" si="327"/>
        <v>5000</v>
      </c>
      <c r="AC533" s="1">
        <f t="shared" si="328"/>
        <v>35000</v>
      </c>
      <c r="AD533" s="41">
        <v>38000</v>
      </c>
      <c r="AE533" s="1">
        <f t="shared" si="314"/>
        <v>3000</v>
      </c>
      <c r="AF533" s="1">
        <f t="shared" si="315"/>
        <v>38000</v>
      </c>
    </row>
    <row r="534" spans="1:32">
      <c r="A534" s="11">
        <v>92000</v>
      </c>
      <c r="B534" s="11">
        <v>22110</v>
      </c>
      <c r="C534" s="11" t="s">
        <v>251</v>
      </c>
      <c r="D534" s="7">
        <v>20000</v>
      </c>
      <c r="E534" s="7"/>
      <c r="F534" s="7">
        <f t="shared" si="317"/>
        <v>20000</v>
      </c>
      <c r="G534" s="7"/>
      <c r="H534" s="7">
        <f t="shared" si="318"/>
        <v>20000</v>
      </c>
      <c r="I534" s="1"/>
      <c r="J534" s="1">
        <f t="shared" si="319"/>
        <v>20000</v>
      </c>
      <c r="K534" s="1"/>
      <c r="L534" s="1">
        <f>H534+K534</f>
        <v>20000</v>
      </c>
      <c r="N534" s="1">
        <f t="shared" si="320"/>
        <v>20000</v>
      </c>
      <c r="O534" s="1"/>
      <c r="P534" s="3"/>
      <c r="Q534" s="1">
        <f t="shared" si="321"/>
        <v>20000</v>
      </c>
      <c r="R534" s="3"/>
      <c r="S534" s="41">
        <v>10000</v>
      </c>
      <c r="T534" s="1">
        <f t="shared" si="322"/>
        <v>30000</v>
      </c>
      <c r="U534" s="1">
        <f t="shared" si="322"/>
        <v>30000</v>
      </c>
      <c r="V534" s="1">
        <f t="shared" si="323"/>
        <v>0</v>
      </c>
      <c r="W534" s="1">
        <f t="shared" si="324"/>
        <v>30000</v>
      </c>
      <c r="X534" s="41">
        <v>30000</v>
      </c>
      <c r="Y534" s="41">
        <f t="shared" si="325"/>
        <v>0</v>
      </c>
      <c r="Z534" s="1">
        <f t="shared" si="326"/>
        <v>30000</v>
      </c>
      <c r="AA534" s="41">
        <v>30000</v>
      </c>
      <c r="AB534" s="1">
        <f t="shared" si="327"/>
        <v>0</v>
      </c>
      <c r="AC534" s="1">
        <f t="shared" si="328"/>
        <v>30000</v>
      </c>
      <c r="AD534" s="41">
        <v>25000</v>
      </c>
      <c r="AE534" s="1">
        <f t="shared" si="314"/>
        <v>-5000</v>
      </c>
      <c r="AF534" s="1">
        <f t="shared" si="315"/>
        <v>25000</v>
      </c>
    </row>
    <row r="535" spans="1:32">
      <c r="A535" s="11">
        <v>13000</v>
      </c>
      <c r="B535" s="11">
        <v>22199</v>
      </c>
      <c r="C535" s="11" t="s">
        <v>274</v>
      </c>
      <c r="D535" s="7">
        <v>12040.49</v>
      </c>
      <c r="E535" s="7"/>
      <c r="F535" s="7">
        <f t="shared" si="317"/>
        <v>12040.49</v>
      </c>
      <c r="G535" s="7">
        <v>-2040.49</v>
      </c>
      <c r="H535" s="7">
        <f t="shared" si="318"/>
        <v>10000</v>
      </c>
      <c r="I535" s="1"/>
      <c r="J535" s="1">
        <f t="shared" si="319"/>
        <v>10000</v>
      </c>
      <c r="K535" s="1"/>
      <c r="L535" s="1">
        <f>H535+K535</f>
        <v>10000</v>
      </c>
      <c r="N535" s="1">
        <f t="shared" si="320"/>
        <v>10000</v>
      </c>
      <c r="O535" s="1"/>
      <c r="Q535" s="1">
        <f t="shared" si="321"/>
        <v>10000</v>
      </c>
      <c r="T535" s="1">
        <f t="shared" si="322"/>
        <v>10000</v>
      </c>
      <c r="U535" s="1">
        <f t="shared" si="322"/>
        <v>10000</v>
      </c>
      <c r="V535" s="1">
        <f t="shared" si="323"/>
        <v>0</v>
      </c>
      <c r="W535" s="1">
        <f t="shared" si="324"/>
        <v>10000</v>
      </c>
      <c r="X535" s="1">
        <v>10000</v>
      </c>
      <c r="Y535" s="41">
        <f t="shared" si="325"/>
        <v>0</v>
      </c>
      <c r="Z535" s="1">
        <f t="shared" si="326"/>
        <v>10000</v>
      </c>
      <c r="AA535" s="1">
        <v>10000</v>
      </c>
      <c r="AB535" s="1">
        <f t="shared" si="327"/>
        <v>0</v>
      </c>
      <c r="AC535" s="1">
        <f t="shared" si="328"/>
        <v>10000</v>
      </c>
      <c r="AD535" s="41">
        <v>6000</v>
      </c>
      <c r="AE535" s="1">
        <f t="shared" si="314"/>
        <v>-4000</v>
      </c>
      <c r="AF535" s="1">
        <f t="shared" si="315"/>
        <v>6000</v>
      </c>
    </row>
    <row r="536" spans="1:32">
      <c r="A536" s="11">
        <v>13200</v>
      </c>
      <c r="B536" s="11">
        <v>22199</v>
      </c>
      <c r="C536" s="11" t="s">
        <v>232</v>
      </c>
      <c r="D536" s="7">
        <v>37800</v>
      </c>
      <c r="E536" s="7">
        <v>35000</v>
      </c>
      <c r="F536" s="7">
        <f t="shared" si="317"/>
        <v>2800</v>
      </c>
      <c r="G536" s="7">
        <v>-7800</v>
      </c>
      <c r="H536" s="7">
        <f t="shared" si="318"/>
        <v>30000</v>
      </c>
      <c r="I536" s="1"/>
      <c r="J536" s="1">
        <f t="shared" si="319"/>
        <v>30000</v>
      </c>
      <c r="K536" s="1"/>
      <c r="L536" s="1">
        <f>H536+K536</f>
        <v>30000</v>
      </c>
      <c r="N536" s="1">
        <f t="shared" si="320"/>
        <v>30000</v>
      </c>
      <c r="O536" s="1"/>
      <c r="Q536" s="1">
        <f t="shared" si="321"/>
        <v>30000</v>
      </c>
      <c r="T536" s="1">
        <f t="shared" ref="T536:T544" si="329">Q536+S536</f>
        <v>30000</v>
      </c>
      <c r="U536" s="1">
        <v>40000</v>
      </c>
      <c r="V536" s="1">
        <f t="shared" si="323"/>
        <v>10000</v>
      </c>
      <c r="W536" s="1">
        <f t="shared" si="324"/>
        <v>40000</v>
      </c>
      <c r="X536" s="1">
        <v>40000</v>
      </c>
      <c r="Y536" s="41">
        <f t="shared" si="325"/>
        <v>0</v>
      </c>
      <c r="Z536" s="1">
        <f t="shared" si="326"/>
        <v>40000</v>
      </c>
      <c r="AA536" s="1">
        <v>40000</v>
      </c>
      <c r="AB536" s="1">
        <f t="shared" si="327"/>
        <v>0</v>
      </c>
      <c r="AC536" s="1">
        <f t="shared" si="328"/>
        <v>40000</v>
      </c>
      <c r="AD536" s="41">
        <f>40000-6300</f>
        <v>33700</v>
      </c>
      <c r="AE536" s="1">
        <f t="shared" si="314"/>
        <v>-6300</v>
      </c>
      <c r="AF536" s="1">
        <f t="shared" si="315"/>
        <v>33700</v>
      </c>
    </row>
    <row r="537" spans="1:32">
      <c r="A537" s="11">
        <v>13300</v>
      </c>
      <c r="B537" s="11">
        <v>22199</v>
      </c>
      <c r="C537" s="11" t="s">
        <v>232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47">
        <v>0</v>
      </c>
      <c r="R537" s="3"/>
      <c r="S537" s="47">
        <v>5000</v>
      </c>
      <c r="T537" s="1">
        <f t="shared" si="329"/>
        <v>5000</v>
      </c>
      <c r="U537" s="1">
        <v>30000</v>
      </c>
      <c r="V537" s="1">
        <f t="shared" si="323"/>
        <v>25000</v>
      </c>
      <c r="W537" s="1">
        <f t="shared" si="324"/>
        <v>30000</v>
      </c>
      <c r="X537" s="41">
        <v>30000</v>
      </c>
      <c r="Y537" s="41">
        <f t="shared" si="325"/>
        <v>0</v>
      </c>
      <c r="Z537" s="1">
        <f t="shared" si="326"/>
        <v>30000</v>
      </c>
      <c r="AA537" s="41">
        <v>55000</v>
      </c>
      <c r="AB537" s="41">
        <f t="shared" si="327"/>
        <v>25000</v>
      </c>
      <c r="AC537" s="1">
        <f t="shared" si="328"/>
        <v>55000</v>
      </c>
      <c r="AD537" s="41">
        <v>60000</v>
      </c>
      <c r="AE537" s="1">
        <f t="shared" si="314"/>
        <v>5000</v>
      </c>
      <c r="AF537" s="1">
        <f t="shared" si="315"/>
        <v>60000</v>
      </c>
    </row>
    <row r="538" spans="1:32">
      <c r="A538" s="13">
        <v>13500</v>
      </c>
      <c r="B538" s="11">
        <v>22199</v>
      </c>
      <c r="C538" s="11" t="s">
        <v>314</v>
      </c>
      <c r="D538" s="7">
        <v>2280</v>
      </c>
      <c r="E538" s="7"/>
      <c r="F538" s="7">
        <f t="shared" ref="F538:F543" si="330">D538-E538</f>
        <v>2280</v>
      </c>
      <c r="G538" s="7">
        <v>-280</v>
      </c>
      <c r="H538" s="7">
        <f t="shared" ref="H538:H543" si="331">D538+G538</f>
        <v>2000</v>
      </c>
      <c r="I538" s="1"/>
      <c r="J538" s="1">
        <f t="shared" ref="J538:J543" si="332">H538-I538</f>
        <v>2000</v>
      </c>
      <c r="K538" s="1"/>
      <c r="L538" s="1">
        <f t="shared" ref="L538:L543" si="333">H538+K538</f>
        <v>2000</v>
      </c>
      <c r="N538" s="1">
        <f t="shared" ref="N538:N544" si="334">L538+M538</f>
        <v>2000</v>
      </c>
      <c r="O538" s="1"/>
      <c r="Q538" s="1">
        <f t="shared" ref="Q538:Q544" si="335">N538+P538</f>
        <v>2000</v>
      </c>
      <c r="T538" s="1">
        <f t="shared" si="329"/>
        <v>2000</v>
      </c>
      <c r="U538" s="1">
        <f>R538+T538</f>
        <v>2000</v>
      </c>
      <c r="V538" s="1">
        <f t="shared" si="323"/>
        <v>0</v>
      </c>
      <c r="W538" s="1">
        <f t="shared" si="324"/>
        <v>2000</v>
      </c>
      <c r="X538" s="1">
        <v>2000</v>
      </c>
      <c r="Y538" s="41">
        <f t="shared" si="325"/>
        <v>0</v>
      </c>
      <c r="Z538" s="1">
        <f t="shared" si="326"/>
        <v>2000</v>
      </c>
      <c r="AA538" s="1">
        <v>2000</v>
      </c>
      <c r="AB538" s="41">
        <f t="shared" si="327"/>
        <v>0</v>
      </c>
      <c r="AC538" s="1">
        <f t="shared" si="328"/>
        <v>2000</v>
      </c>
      <c r="AD538" s="41">
        <v>1000</v>
      </c>
      <c r="AE538" s="1">
        <f t="shared" si="314"/>
        <v>-1000</v>
      </c>
      <c r="AF538" s="1">
        <f t="shared" si="315"/>
        <v>1000</v>
      </c>
    </row>
    <row r="539" spans="1:32">
      <c r="A539" s="11">
        <v>15100</v>
      </c>
      <c r="B539" s="11">
        <v>22199</v>
      </c>
      <c r="C539" s="11" t="s">
        <v>378</v>
      </c>
      <c r="D539" s="7">
        <v>601.01</v>
      </c>
      <c r="E539" s="7"/>
      <c r="F539" s="7">
        <f t="shared" si="330"/>
        <v>601.01</v>
      </c>
      <c r="G539" s="7">
        <v>-101.01</v>
      </c>
      <c r="H539" s="7">
        <f t="shared" si="331"/>
        <v>500</v>
      </c>
      <c r="I539" s="1"/>
      <c r="J539" s="1">
        <f t="shared" si="332"/>
        <v>500</v>
      </c>
      <c r="K539" s="1"/>
      <c r="L539" s="1">
        <f t="shared" si="333"/>
        <v>500</v>
      </c>
      <c r="N539" s="1">
        <f t="shared" si="334"/>
        <v>500</v>
      </c>
      <c r="O539" s="1"/>
      <c r="Q539" s="1">
        <f t="shared" si="335"/>
        <v>500</v>
      </c>
      <c r="T539" s="1">
        <f t="shared" si="329"/>
        <v>500</v>
      </c>
      <c r="U539" s="1">
        <f>R539+T539</f>
        <v>500</v>
      </c>
      <c r="V539" s="1">
        <f t="shared" si="323"/>
        <v>0</v>
      </c>
      <c r="W539" s="1">
        <f t="shared" si="324"/>
        <v>500</v>
      </c>
      <c r="X539" s="1">
        <v>1000</v>
      </c>
      <c r="Y539" s="41">
        <f t="shared" si="325"/>
        <v>500</v>
      </c>
      <c r="Z539" s="1">
        <f t="shared" si="326"/>
        <v>1000</v>
      </c>
      <c r="AA539" s="1">
        <v>4000</v>
      </c>
      <c r="AB539" s="1">
        <f t="shared" si="327"/>
        <v>3000</v>
      </c>
      <c r="AC539" s="1">
        <f t="shared" si="328"/>
        <v>4000</v>
      </c>
      <c r="AD539" s="41">
        <v>5100</v>
      </c>
      <c r="AE539" s="1">
        <f t="shared" si="314"/>
        <v>1100</v>
      </c>
      <c r="AF539" s="1">
        <f t="shared" si="315"/>
        <v>5100</v>
      </c>
    </row>
    <row r="540" spans="1:32">
      <c r="A540" s="13">
        <v>16400</v>
      </c>
      <c r="B540" s="11">
        <v>22199</v>
      </c>
      <c r="C540" s="11" t="s">
        <v>416</v>
      </c>
      <c r="D540" s="7">
        <v>1803.04</v>
      </c>
      <c r="E540" s="7"/>
      <c r="F540" s="7">
        <f t="shared" si="330"/>
        <v>1803.04</v>
      </c>
      <c r="G540" s="7">
        <v>-803.04</v>
      </c>
      <c r="H540" s="7">
        <f t="shared" si="331"/>
        <v>1000</v>
      </c>
      <c r="I540" s="1"/>
      <c r="J540" s="1">
        <f t="shared" si="332"/>
        <v>1000</v>
      </c>
      <c r="K540" s="1"/>
      <c r="L540" s="1">
        <f t="shared" si="333"/>
        <v>1000</v>
      </c>
      <c r="N540" s="1">
        <f t="shared" si="334"/>
        <v>1000</v>
      </c>
      <c r="O540" s="1"/>
      <c r="Q540" s="1">
        <f t="shared" si="335"/>
        <v>1000</v>
      </c>
      <c r="S540" s="1">
        <v>1000</v>
      </c>
      <c r="T540" s="1">
        <f t="shared" si="329"/>
        <v>2000</v>
      </c>
      <c r="U540" s="1">
        <f>R540+T540</f>
        <v>2000</v>
      </c>
      <c r="V540" s="1">
        <f t="shared" si="323"/>
        <v>0</v>
      </c>
      <c r="W540" s="1">
        <f t="shared" si="324"/>
        <v>2000</v>
      </c>
      <c r="X540" s="1">
        <v>10000</v>
      </c>
      <c r="Y540" s="41">
        <f t="shared" si="325"/>
        <v>8000</v>
      </c>
      <c r="Z540" s="1">
        <f t="shared" si="326"/>
        <v>10000</v>
      </c>
      <c r="AA540" s="1">
        <v>10000</v>
      </c>
      <c r="AB540" s="1">
        <f t="shared" si="327"/>
        <v>0</v>
      </c>
      <c r="AC540" s="1">
        <f t="shared" si="328"/>
        <v>10000</v>
      </c>
      <c r="AD540" s="41">
        <v>10000</v>
      </c>
      <c r="AE540" s="1">
        <f t="shared" si="314"/>
        <v>0</v>
      </c>
      <c r="AF540" s="1">
        <f t="shared" si="315"/>
        <v>10000</v>
      </c>
    </row>
    <row r="541" spans="1:32">
      <c r="A541" s="13">
        <v>16500</v>
      </c>
      <c r="B541" s="11">
        <v>22199</v>
      </c>
      <c r="C541" s="11" t="s">
        <v>232</v>
      </c>
      <c r="D541" s="7">
        <v>16020.24</v>
      </c>
      <c r="E541" s="7"/>
      <c r="F541" s="7">
        <f t="shared" si="330"/>
        <v>16020.24</v>
      </c>
      <c r="G541" s="7">
        <v>-6020.24</v>
      </c>
      <c r="H541" s="7">
        <f t="shared" si="331"/>
        <v>10000</v>
      </c>
      <c r="I541" s="1"/>
      <c r="J541" s="1">
        <f t="shared" si="332"/>
        <v>10000</v>
      </c>
      <c r="K541" s="1"/>
      <c r="L541" s="1">
        <f t="shared" si="333"/>
        <v>10000</v>
      </c>
      <c r="N541" s="1">
        <f t="shared" si="334"/>
        <v>10000</v>
      </c>
      <c r="O541" s="1"/>
      <c r="Q541" s="1">
        <f t="shared" si="335"/>
        <v>10000</v>
      </c>
      <c r="R541" s="1">
        <v>158076.24</v>
      </c>
      <c r="T541" s="1">
        <f t="shared" si="329"/>
        <v>10000</v>
      </c>
      <c r="U541" s="1">
        <v>10000</v>
      </c>
      <c r="V541" s="1">
        <f t="shared" si="323"/>
        <v>0</v>
      </c>
      <c r="W541" s="1">
        <f t="shared" si="324"/>
        <v>10000</v>
      </c>
      <c r="X541" s="1">
        <v>25000</v>
      </c>
      <c r="Y541" s="41">
        <f t="shared" si="325"/>
        <v>15000</v>
      </c>
      <c r="Z541" s="1">
        <f t="shared" si="326"/>
        <v>25000</v>
      </c>
      <c r="AA541" s="1">
        <v>25000</v>
      </c>
      <c r="AB541" s="1">
        <f t="shared" si="327"/>
        <v>0</v>
      </c>
      <c r="AC541" s="1">
        <f t="shared" si="328"/>
        <v>25000</v>
      </c>
      <c r="AD541" s="41">
        <v>25000</v>
      </c>
      <c r="AE541" s="1">
        <f t="shared" si="314"/>
        <v>0</v>
      </c>
      <c r="AF541" s="1">
        <f t="shared" si="315"/>
        <v>25000</v>
      </c>
    </row>
    <row r="542" spans="1:32">
      <c r="A542" s="13">
        <v>17000</v>
      </c>
      <c r="B542" s="11">
        <v>22199</v>
      </c>
      <c r="C542" s="11" t="s">
        <v>232</v>
      </c>
      <c r="D542" s="7">
        <v>9616.19</v>
      </c>
      <c r="E542" s="7"/>
      <c r="F542" s="7">
        <f t="shared" si="330"/>
        <v>9616.19</v>
      </c>
      <c r="G542" s="7">
        <v>-3616.19</v>
      </c>
      <c r="H542" s="7">
        <f t="shared" si="331"/>
        <v>6000</v>
      </c>
      <c r="I542" s="1"/>
      <c r="J542" s="1">
        <f t="shared" si="332"/>
        <v>6000</v>
      </c>
      <c r="K542" s="1"/>
      <c r="L542" s="1">
        <f t="shared" si="333"/>
        <v>6000</v>
      </c>
      <c r="N542" s="1">
        <f t="shared" si="334"/>
        <v>6000</v>
      </c>
      <c r="O542" s="1"/>
      <c r="Q542" s="1">
        <f t="shared" si="335"/>
        <v>6000</v>
      </c>
      <c r="T542" s="1">
        <f t="shared" si="329"/>
        <v>6000</v>
      </c>
      <c r="U542" s="1">
        <f>R542+T542</f>
        <v>6000</v>
      </c>
      <c r="V542" s="1">
        <f t="shared" si="323"/>
        <v>0</v>
      </c>
      <c r="W542" s="1">
        <f t="shared" si="324"/>
        <v>6000</v>
      </c>
      <c r="X542" s="1">
        <v>7000</v>
      </c>
      <c r="Y542" s="41">
        <f t="shared" si="325"/>
        <v>1000</v>
      </c>
      <c r="Z542" s="1">
        <f t="shared" si="326"/>
        <v>7000</v>
      </c>
      <c r="AA542" s="1">
        <v>16000</v>
      </c>
      <c r="AB542" s="1">
        <f t="shared" si="327"/>
        <v>9000</v>
      </c>
      <c r="AC542" s="1">
        <f t="shared" si="328"/>
        <v>16000</v>
      </c>
      <c r="AD542" s="41">
        <v>20000</v>
      </c>
      <c r="AE542" s="1">
        <f t="shared" si="314"/>
        <v>4000</v>
      </c>
      <c r="AF542" s="1">
        <f t="shared" si="315"/>
        <v>20000</v>
      </c>
    </row>
    <row r="543" spans="1:32">
      <c r="A543" s="13">
        <v>17100</v>
      </c>
      <c r="B543" s="11">
        <v>22199</v>
      </c>
      <c r="C543" s="11" t="s">
        <v>232</v>
      </c>
      <c r="D543" s="7">
        <v>16230</v>
      </c>
      <c r="E543" s="7"/>
      <c r="F543" s="7">
        <f t="shared" si="330"/>
        <v>16230</v>
      </c>
      <c r="G543" s="7">
        <v>-1230</v>
      </c>
      <c r="H543" s="7">
        <f t="shared" si="331"/>
        <v>15000</v>
      </c>
      <c r="I543" s="1"/>
      <c r="J543" s="1">
        <f t="shared" si="332"/>
        <v>15000</v>
      </c>
      <c r="K543" s="1"/>
      <c r="L543" s="1">
        <f t="shared" si="333"/>
        <v>15000</v>
      </c>
      <c r="N543" s="1">
        <f t="shared" si="334"/>
        <v>15000</v>
      </c>
      <c r="O543" s="1"/>
      <c r="Q543" s="1">
        <f t="shared" si="335"/>
        <v>15000</v>
      </c>
      <c r="S543" s="1">
        <v>15000</v>
      </c>
      <c r="T543" s="1">
        <f t="shared" si="329"/>
        <v>30000</v>
      </c>
      <c r="U543" s="1">
        <v>35000</v>
      </c>
      <c r="V543" s="1">
        <f t="shared" si="323"/>
        <v>5000</v>
      </c>
      <c r="W543" s="1">
        <f t="shared" si="324"/>
        <v>35000</v>
      </c>
      <c r="X543" s="1">
        <v>40000</v>
      </c>
      <c r="Y543" s="41">
        <f t="shared" si="325"/>
        <v>5000</v>
      </c>
      <c r="Z543" s="1">
        <f t="shared" si="326"/>
        <v>40000</v>
      </c>
      <c r="AA543" s="1">
        <v>40000</v>
      </c>
      <c r="AB543" s="1">
        <f t="shared" si="327"/>
        <v>0</v>
      </c>
      <c r="AC543" s="1">
        <f t="shared" si="328"/>
        <v>40000</v>
      </c>
      <c r="AD543" s="41">
        <v>45000</v>
      </c>
      <c r="AE543" s="1">
        <f t="shared" si="314"/>
        <v>5000</v>
      </c>
      <c r="AF543" s="1">
        <f t="shared" si="315"/>
        <v>45000</v>
      </c>
    </row>
    <row r="544" spans="1:32">
      <c r="A544" s="13">
        <v>23110</v>
      </c>
      <c r="B544" s="11">
        <v>22199</v>
      </c>
      <c r="C544" s="11" t="s">
        <v>232</v>
      </c>
      <c r="D544" s="8"/>
      <c r="E544" s="8"/>
      <c r="F544" s="8"/>
      <c r="G544" s="8"/>
      <c r="H544" s="8"/>
      <c r="I544" s="8"/>
      <c r="J544" s="8"/>
      <c r="K544" s="8"/>
      <c r="L544" s="10">
        <v>601.01</v>
      </c>
      <c r="M544" s="10">
        <v>0</v>
      </c>
      <c r="N544" s="7">
        <f t="shared" si="334"/>
        <v>601.01</v>
      </c>
      <c r="O544" s="7"/>
      <c r="P544" s="3"/>
      <c r="Q544" s="1">
        <f t="shared" si="335"/>
        <v>601.01</v>
      </c>
      <c r="R544" s="3">
        <v>14239.29</v>
      </c>
      <c r="S544" s="3"/>
      <c r="T544" s="1">
        <f t="shared" si="329"/>
        <v>601.01</v>
      </c>
      <c r="U544" s="41">
        <v>5000</v>
      </c>
      <c r="V544" s="1">
        <f t="shared" si="323"/>
        <v>4398.99</v>
      </c>
      <c r="W544" s="1">
        <f t="shared" si="324"/>
        <v>5000</v>
      </c>
      <c r="X544" s="41">
        <v>7000</v>
      </c>
      <c r="Y544" s="41">
        <f t="shared" si="325"/>
        <v>2000</v>
      </c>
      <c r="Z544" s="1">
        <f t="shared" si="326"/>
        <v>7000</v>
      </c>
      <c r="AA544" s="41">
        <v>7000</v>
      </c>
      <c r="AB544" s="41">
        <f t="shared" si="327"/>
        <v>0</v>
      </c>
      <c r="AC544" s="1">
        <f t="shared" si="328"/>
        <v>7000</v>
      </c>
      <c r="AD544" s="41">
        <v>7000</v>
      </c>
      <c r="AE544" s="1">
        <f t="shared" si="314"/>
        <v>0</v>
      </c>
      <c r="AF544" s="1">
        <f t="shared" si="315"/>
        <v>7000</v>
      </c>
    </row>
    <row r="545" spans="1:32">
      <c r="A545" s="11">
        <v>23112</v>
      </c>
      <c r="B545" s="11">
        <v>22199</v>
      </c>
      <c r="C545" s="42" t="s">
        <v>232</v>
      </c>
      <c r="D545" s="7"/>
      <c r="E545" s="7"/>
      <c r="F545" s="7"/>
      <c r="G545" s="7"/>
      <c r="H545" s="7"/>
      <c r="I545" s="1"/>
      <c r="J545" s="1"/>
      <c r="K545" s="1"/>
      <c r="L545" s="1"/>
      <c r="N545" s="1"/>
      <c r="O545" s="1"/>
      <c r="T545" s="1"/>
      <c r="V545" s="1"/>
      <c r="W545" s="1">
        <v>0</v>
      </c>
      <c r="X545" s="1">
        <v>0</v>
      </c>
      <c r="Y545" s="41"/>
      <c r="Z545" s="1">
        <v>0</v>
      </c>
      <c r="AA545" s="1">
        <v>0</v>
      </c>
      <c r="AB545" s="1">
        <f t="shared" si="327"/>
        <v>0</v>
      </c>
      <c r="AC545" s="1">
        <f t="shared" si="328"/>
        <v>0</v>
      </c>
      <c r="AD545" s="41">
        <v>0</v>
      </c>
      <c r="AE545" s="1">
        <f t="shared" si="314"/>
        <v>0</v>
      </c>
      <c r="AF545" s="1">
        <f t="shared" si="315"/>
        <v>0</v>
      </c>
    </row>
    <row r="546" spans="1:32">
      <c r="A546" s="42">
        <v>23113</v>
      </c>
      <c r="B546" s="11">
        <v>22199</v>
      </c>
      <c r="C546" s="11" t="s">
        <v>232</v>
      </c>
      <c r="D546" s="7">
        <v>10000</v>
      </c>
      <c r="E546" s="7">
        <v>15000</v>
      </c>
      <c r="F546" s="7">
        <f>D546-E546</f>
        <v>-5000</v>
      </c>
      <c r="G546" s="7">
        <v>5000</v>
      </c>
      <c r="H546" s="7">
        <f>D546+G546</f>
        <v>15000</v>
      </c>
      <c r="I546" s="7"/>
      <c r="J546" s="7">
        <f>H546-I546</f>
        <v>15000</v>
      </c>
      <c r="K546" s="7"/>
      <c r="L546" s="7">
        <v>15000</v>
      </c>
      <c r="M546" s="7">
        <v>0</v>
      </c>
      <c r="N546" s="7">
        <f>L546+M546</f>
        <v>15000</v>
      </c>
      <c r="O546" s="7"/>
      <c r="Q546" s="1">
        <f>N546+P546</f>
        <v>15000</v>
      </c>
      <c r="T546" s="1">
        <f t="shared" ref="T546:U548" si="336">Q546+S546</f>
        <v>15000</v>
      </c>
      <c r="U546" s="1">
        <f t="shared" si="336"/>
        <v>15000</v>
      </c>
      <c r="V546" s="1">
        <f>U546-T546</f>
        <v>0</v>
      </c>
      <c r="W546" s="1">
        <f>T546+V546</f>
        <v>15000</v>
      </c>
      <c r="X546" s="1">
        <v>15000</v>
      </c>
      <c r="Y546" s="41">
        <f t="shared" ref="Y546:Y570" si="337">X546-W546</f>
        <v>0</v>
      </c>
      <c r="Z546" s="1">
        <f t="shared" ref="Z546:Z570" si="338">W546+Y546</f>
        <v>15000</v>
      </c>
      <c r="AA546" s="1">
        <v>20000</v>
      </c>
      <c r="AB546" s="41">
        <f t="shared" si="327"/>
        <v>5000</v>
      </c>
      <c r="AC546" s="1">
        <f t="shared" si="328"/>
        <v>20000</v>
      </c>
      <c r="AD546" s="41">
        <v>25000</v>
      </c>
      <c r="AE546" s="1">
        <f t="shared" si="314"/>
        <v>5000</v>
      </c>
      <c r="AF546" s="1">
        <f t="shared" si="315"/>
        <v>25000</v>
      </c>
    </row>
    <row r="547" spans="1:32">
      <c r="A547" s="11">
        <v>32000</v>
      </c>
      <c r="B547" s="11">
        <v>22199</v>
      </c>
      <c r="C547" s="11" t="s">
        <v>232</v>
      </c>
      <c r="D547" s="7">
        <v>20000</v>
      </c>
      <c r="E547" s="7"/>
      <c r="F547" s="7">
        <f>D547-E547</f>
        <v>20000</v>
      </c>
      <c r="G547" s="7">
        <v>-2000</v>
      </c>
      <c r="H547" s="7">
        <f>D547+G547</f>
        <v>18000</v>
      </c>
      <c r="I547" s="1"/>
      <c r="J547" s="1">
        <f>H547-I547</f>
        <v>18000</v>
      </c>
      <c r="K547" s="1"/>
      <c r="L547" s="1">
        <f>H547+K547</f>
        <v>18000</v>
      </c>
      <c r="N547" s="1">
        <f>L547+M547</f>
        <v>18000</v>
      </c>
      <c r="O547" s="1"/>
      <c r="P547" s="3"/>
      <c r="Q547" s="1">
        <f>N547+P547</f>
        <v>18000</v>
      </c>
      <c r="R547" s="3"/>
      <c r="S547" s="3"/>
      <c r="T547" s="1">
        <f t="shared" si="336"/>
        <v>18000</v>
      </c>
      <c r="U547" s="1">
        <f t="shared" si="336"/>
        <v>18000</v>
      </c>
      <c r="V547" s="1">
        <f>U547-T547</f>
        <v>0</v>
      </c>
      <c r="W547" s="1">
        <f>T547+V547</f>
        <v>18000</v>
      </c>
      <c r="X547" s="41">
        <v>20000</v>
      </c>
      <c r="Y547" s="41">
        <f t="shared" si="337"/>
        <v>2000</v>
      </c>
      <c r="Z547" s="1">
        <f t="shared" si="338"/>
        <v>20000</v>
      </c>
      <c r="AA547" s="41">
        <v>25000</v>
      </c>
      <c r="AB547" s="41">
        <f t="shared" si="327"/>
        <v>5000</v>
      </c>
      <c r="AC547" s="1">
        <f t="shared" si="328"/>
        <v>25000</v>
      </c>
      <c r="AD547" s="41">
        <v>25000</v>
      </c>
      <c r="AE547" s="1">
        <f t="shared" si="314"/>
        <v>0</v>
      </c>
      <c r="AF547" s="1">
        <f t="shared" si="315"/>
        <v>25000</v>
      </c>
    </row>
    <row r="548" spans="1:32">
      <c r="A548" s="11">
        <v>33400</v>
      </c>
      <c r="B548" s="11">
        <v>22199</v>
      </c>
      <c r="C548" s="11" t="s">
        <v>232</v>
      </c>
      <c r="D548" s="7">
        <v>4806.4799999999996</v>
      </c>
      <c r="E548" s="7"/>
      <c r="F548" s="7">
        <f>D548-E548</f>
        <v>4806.4799999999996</v>
      </c>
      <c r="G548" s="7">
        <v>-1806.48</v>
      </c>
      <c r="H548" s="7">
        <f>D548+G548</f>
        <v>2999.9999999999995</v>
      </c>
      <c r="I548" s="1"/>
      <c r="J548" s="1">
        <f>H548-I548</f>
        <v>2999.9999999999995</v>
      </c>
      <c r="K548" s="1"/>
      <c r="L548" s="1">
        <f>H548+K548</f>
        <v>2999.9999999999995</v>
      </c>
      <c r="N548" s="1">
        <f>L548+M548</f>
        <v>2999.9999999999995</v>
      </c>
      <c r="O548" s="1"/>
      <c r="Q548" s="1">
        <f>N548+P548</f>
        <v>2999.9999999999995</v>
      </c>
      <c r="T548" s="1">
        <f t="shared" si="336"/>
        <v>2999.9999999999995</v>
      </c>
      <c r="U548" s="1">
        <f t="shared" si="336"/>
        <v>2999.9999999999995</v>
      </c>
      <c r="V548" s="1">
        <f>U548-T548</f>
        <v>0</v>
      </c>
      <c r="W548" s="1">
        <f>T548+V548</f>
        <v>2999.9999999999995</v>
      </c>
      <c r="X548" s="1">
        <v>3000</v>
      </c>
      <c r="Y548" s="41">
        <f t="shared" si="337"/>
        <v>0</v>
      </c>
      <c r="Z548" s="1">
        <f t="shared" si="338"/>
        <v>2999.9999999999995</v>
      </c>
      <c r="AA548" s="1">
        <v>3000</v>
      </c>
      <c r="AB548" s="1">
        <f t="shared" si="327"/>
        <v>0</v>
      </c>
      <c r="AC548" s="1">
        <f t="shared" si="328"/>
        <v>2999.9999999999995</v>
      </c>
      <c r="AD548" s="41">
        <v>4000</v>
      </c>
      <c r="AE548" s="1">
        <f t="shared" si="314"/>
        <v>1000.0000000000005</v>
      </c>
      <c r="AF548" s="1">
        <f t="shared" si="315"/>
        <v>4000</v>
      </c>
    </row>
    <row r="549" spans="1:32">
      <c r="A549" s="11">
        <v>33600</v>
      </c>
      <c r="B549" s="11">
        <v>22199</v>
      </c>
      <c r="C549" s="39" t="s">
        <v>791</v>
      </c>
      <c r="D549" s="7"/>
      <c r="E549" s="7"/>
      <c r="F549" s="7"/>
      <c r="G549" s="7"/>
      <c r="H549" s="7"/>
      <c r="I549" s="1"/>
      <c r="J549" s="1"/>
      <c r="K549" s="1"/>
      <c r="L549" s="1"/>
      <c r="N549" s="1"/>
      <c r="O549" s="1"/>
      <c r="T549" s="1"/>
      <c r="V549" s="1"/>
      <c r="W549" s="1">
        <v>0</v>
      </c>
      <c r="X549" s="1">
        <v>10000</v>
      </c>
      <c r="Y549" s="41">
        <f t="shared" si="337"/>
        <v>10000</v>
      </c>
      <c r="Z549" s="1">
        <f t="shared" si="338"/>
        <v>10000</v>
      </c>
      <c r="AA549" s="1">
        <v>5000</v>
      </c>
      <c r="AB549" s="1">
        <f t="shared" si="327"/>
        <v>-5000</v>
      </c>
      <c r="AC549" s="1">
        <f t="shared" si="328"/>
        <v>5000</v>
      </c>
      <c r="AD549" s="41">
        <v>5000</v>
      </c>
      <c r="AE549" s="1">
        <f t="shared" si="314"/>
        <v>0</v>
      </c>
      <c r="AF549" s="1">
        <f t="shared" si="315"/>
        <v>5000</v>
      </c>
    </row>
    <row r="550" spans="1:32">
      <c r="A550" s="11">
        <v>33700</v>
      </c>
      <c r="B550" s="11">
        <v>22199</v>
      </c>
      <c r="C550" s="11" t="s">
        <v>232</v>
      </c>
      <c r="D550" s="7">
        <v>8000</v>
      </c>
      <c r="E550" s="7"/>
      <c r="F550" s="7">
        <f t="shared" ref="F550:F566" si="339">D550-E550</f>
        <v>8000</v>
      </c>
      <c r="G550" s="7">
        <v>-3000</v>
      </c>
      <c r="H550" s="7">
        <f t="shared" ref="H550:H566" si="340">D550+G550</f>
        <v>5000</v>
      </c>
      <c r="I550" s="1"/>
      <c r="J550" s="1">
        <f t="shared" ref="J550:J566" si="341">H550-I550</f>
        <v>5000</v>
      </c>
      <c r="K550" s="1"/>
      <c r="L550" s="1">
        <f>H550+K550</f>
        <v>5000</v>
      </c>
      <c r="N550" s="1">
        <f t="shared" ref="N550:N567" si="342">L550+M550</f>
        <v>5000</v>
      </c>
      <c r="O550" s="1"/>
      <c r="Q550" s="1">
        <f t="shared" ref="Q550:Q569" si="343">N550+P550</f>
        <v>5000</v>
      </c>
      <c r="T550" s="1">
        <f t="shared" ref="T550:T558" si="344">Q550+S550</f>
        <v>5000</v>
      </c>
      <c r="U550" s="1">
        <f t="shared" ref="U550:U558" si="345">R550+T550</f>
        <v>5000</v>
      </c>
      <c r="V550" s="1">
        <f t="shared" ref="V550:V570" si="346">U550-T550</f>
        <v>0</v>
      </c>
      <c r="W550" s="1">
        <f t="shared" ref="W550:W570" si="347">T550+V550</f>
        <v>5000</v>
      </c>
      <c r="X550" s="1">
        <v>6000</v>
      </c>
      <c r="Y550" s="41">
        <f t="shared" si="337"/>
        <v>1000</v>
      </c>
      <c r="Z550" s="1">
        <f t="shared" si="338"/>
        <v>6000</v>
      </c>
      <c r="AA550" s="1">
        <v>6000</v>
      </c>
      <c r="AB550" s="1">
        <f t="shared" si="327"/>
        <v>0</v>
      </c>
      <c r="AC550" s="1">
        <f t="shared" si="328"/>
        <v>6000</v>
      </c>
      <c r="AD550" s="41">
        <v>8800</v>
      </c>
      <c r="AE550" s="1">
        <f t="shared" si="314"/>
        <v>2800</v>
      </c>
      <c r="AF550" s="1">
        <f t="shared" si="315"/>
        <v>8800</v>
      </c>
    </row>
    <row r="551" spans="1:32">
      <c r="A551" s="11">
        <v>33710</v>
      </c>
      <c r="B551" s="11">
        <v>22199</v>
      </c>
      <c r="C551" s="11" t="s">
        <v>232</v>
      </c>
      <c r="D551" s="7">
        <v>6424.29</v>
      </c>
      <c r="E551" s="7"/>
      <c r="F551" s="7">
        <f t="shared" si="339"/>
        <v>6424.29</v>
      </c>
      <c r="G551" s="7">
        <v>-1424.29</v>
      </c>
      <c r="H551" s="7">
        <f t="shared" si="340"/>
        <v>5000</v>
      </c>
      <c r="I551" s="7"/>
      <c r="J551" s="7">
        <f t="shared" si="341"/>
        <v>5000</v>
      </c>
      <c r="K551" s="7"/>
      <c r="L551" s="7">
        <v>5000</v>
      </c>
      <c r="M551" s="7">
        <v>0</v>
      </c>
      <c r="N551" s="7">
        <f t="shared" si="342"/>
        <v>5000</v>
      </c>
      <c r="O551" s="7"/>
      <c r="Q551" s="1">
        <f t="shared" si="343"/>
        <v>5000</v>
      </c>
      <c r="T551" s="1">
        <f t="shared" si="344"/>
        <v>5000</v>
      </c>
      <c r="U551" s="1">
        <f t="shared" si="345"/>
        <v>5000</v>
      </c>
      <c r="V551" s="1">
        <f t="shared" si="346"/>
        <v>0</v>
      </c>
      <c r="W551" s="1">
        <f t="shared" si="347"/>
        <v>5000</v>
      </c>
      <c r="X551" s="1">
        <v>5000</v>
      </c>
      <c r="Y551" s="41">
        <f t="shared" si="337"/>
        <v>0</v>
      </c>
      <c r="Z551" s="1">
        <f t="shared" si="338"/>
        <v>5000</v>
      </c>
      <c r="AA551" s="1">
        <f>X551+Z551</f>
        <v>10000</v>
      </c>
      <c r="AB551" s="1">
        <f t="shared" si="327"/>
        <v>5000</v>
      </c>
      <c r="AC551" s="1">
        <f t="shared" si="328"/>
        <v>10000</v>
      </c>
      <c r="AD551" s="41">
        <v>1000</v>
      </c>
      <c r="AE551" s="1">
        <f t="shared" si="314"/>
        <v>-9000</v>
      </c>
      <c r="AF551" s="1">
        <f t="shared" si="315"/>
        <v>1000</v>
      </c>
    </row>
    <row r="552" spans="1:32">
      <c r="A552" s="11">
        <v>34000</v>
      </c>
      <c r="B552" s="11">
        <v>22199</v>
      </c>
      <c r="C552" s="11" t="s">
        <v>655</v>
      </c>
      <c r="D552" s="7">
        <v>60000</v>
      </c>
      <c r="E552" s="7"/>
      <c r="F552" s="7">
        <f t="shared" si="339"/>
        <v>60000</v>
      </c>
      <c r="G552" s="7">
        <v>-10000</v>
      </c>
      <c r="H552" s="7">
        <f t="shared" si="340"/>
        <v>50000</v>
      </c>
      <c r="I552" s="1"/>
      <c r="J552" s="1">
        <f t="shared" si="341"/>
        <v>50000</v>
      </c>
      <c r="K552" s="1"/>
      <c r="L552" s="1">
        <f t="shared" ref="L552:L566" si="348">H552+K552</f>
        <v>50000</v>
      </c>
      <c r="N552" s="1">
        <f t="shared" si="342"/>
        <v>50000</v>
      </c>
      <c r="O552" s="1"/>
      <c r="Q552" s="1">
        <f t="shared" si="343"/>
        <v>50000</v>
      </c>
      <c r="T552" s="1">
        <f t="shared" si="344"/>
        <v>50000</v>
      </c>
      <c r="U552" s="1">
        <f t="shared" si="345"/>
        <v>50000</v>
      </c>
      <c r="V552" s="1">
        <f t="shared" si="346"/>
        <v>0</v>
      </c>
      <c r="W552" s="1">
        <f t="shared" si="347"/>
        <v>50000</v>
      </c>
      <c r="X552" s="1">
        <v>50000</v>
      </c>
      <c r="Y552" s="41">
        <f t="shared" si="337"/>
        <v>0</v>
      </c>
      <c r="Z552" s="1">
        <f t="shared" si="338"/>
        <v>50000</v>
      </c>
      <c r="AA552" s="1">
        <v>45000</v>
      </c>
      <c r="AB552" s="1">
        <f t="shared" si="327"/>
        <v>-5000</v>
      </c>
      <c r="AC552" s="1">
        <f t="shared" si="328"/>
        <v>45000</v>
      </c>
      <c r="AD552" s="41">
        <v>45000</v>
      </c>
      <c r="AE552" s="1">
        <f t="shared" si="314"/>
        <v>0</v>
      </c>
      <c r="AF552" s="1">
        <f t="shared" si="315"/>
        <v>45000</v>
      </c>
    </row>
    <row r="553" spans="1:32">
      <c r="A553" s="13">
        <v>43200</v>
      </c>
      <c r="B553" s="11">
        <v>22199</v>
      </c>
      <c r="C553" s="11" t="s">
        <v>519</v>
      </c>
      <c r="D553" s="7">
        <v>14717.67</v>
      </c>
      <c r="E553" s="7"/>
      <c r="F553" s="7">
        <f t="shared" si="339"/>
        <v>14717.67</v>
      </c>
      <c r="G553" s="7">
        <v>-4717.67</v>
      </c>
      <c r="H553" s="7">
        <f t="shared" si="340"/>
        <v>10000</v>
      </c>
      <c r="I553" s="1"/>
      <c r="J553" s="1">
        <f t="shared" si="341"/>
        <v>10000</v>
      </c>
      <c r="K553" s="1"/>
      <c r="L553" s="1">
        <f t="shared" si="348"/>
        <v>10000</v>
      </c>
      <c r="N553" s="1">
        <f t="shared" si="342"/>
        <v>10000</v>
      </c>
      <c r="O553" s="1"/>
      <c r="Q553" s="1">
        <f t="shared" si="343"/>
        <v>10000</v>
      </c>
      <c r="T553" s="1">
        <f t="shared" si="344"/>
        <v>10000</v>
      </c>
      <c r="U553" s="1">
        <f t="shared" si="345"/>
        <v>10000</v>
      </c>
      <c r="V553" s="1">
        <f t="shared" si="346"/>
        <v>0</v>
      </c>
      <c r="W553" s="1">
        <f t="shared" si="347"/>
        <v>10000</v>
      </c>
      <c r="X553" s="1">
        <v>10000</v>
      </c>
      <c r="Y553" s="41">
        <f t="shared" si="337"/>
        <v>0</v>
      </c>
      <c r="Z553" s="1">
        <f t="shared" si="338"/>
        <v>10000</v>
      </c>
      <c r="AA553" s="1">
        <v>1000</v>
      </c>
      <c r="AB553" s="41">
        <f t="shared" si="327"/>
        <v>-9000</v>
      </c>
      <c r="AC553" s="1">
        <f t="shared" si="328"/>
        <v>1000</v>
      </c>
      <c r="AD553" s="41">
        <v>1000</v>
      </c>
      <c r="AE553" s="1">
        <f t="shared" si="314"/>
        <v>0</v>
      </c>
      <c r="AF553" s="1">
        <f t="shared" si="315"/>
        <v>1000</v>
      </c>
    </row>
    <row r="554" spans="1:32">
      <c r="A554" s="11">
        <v>45900</v>
      </c>
      <c r="B554" s="11">
        <v>22199</v>
      </c>
      <c r="C554" s="11" t="s">
        <v>175</v>
      </c>
      <c r="D554" s="7">
        <v>70050.61</v>
      </c>
      <c r="E554" s="7"/>
      <c r="F554" s="7">
        <f t="shared" si="339"/>
        <v>70050.61</v>
      </c>
      <c r="G554" s="7">
        <v>-10050.61</v>
      </c>
      <c r="H554" s="7">
        <f t="shared" si="340"/>
        <v>60000</v>
      </c>
      <c r="I554" s="1"/>
      <c r="J554" s="1">
        <f t="shared" si="341"/>
        <v>60000</v>
      </c>
      <c r="K554" s="1"/>
      <c r="L554" s="1">
        <f t="shared" si="348"/>
        <v>60000</v>
      </c>
      <c r="M554" s="7">
        <v>50000</v>
      </c>
      <c r="N554" s="1">
        <f t="shared" si="342"/>
        <v>110000</v>
      </c>
      <c r="O554" s="1"/>
      <c r="Q554" s="1">
        <f t="shared" si="343"/>
        <v>110000</v>
      </c>
      <c r="T554" s="1">
        <f t="shared" si="344"/>
        <v>110000</v>
      </c>
      <c r="U554" s="1">
        <f t="shared" si="345"/>
        <v>110000</v>
      </c>
      <c r="V554" s="1">
        <f t="shared" si="346"/>
        <v>0</v>
      </c>
      <c r="W554" s="1">
        <f t="shared" si="347"/>
        <v>110000</v>
      </c>
      <c r="X554" s="1">
        <v>90000</v>
      </c>
      <c r="Y554" s="41">
        <f t="shared" si="337"/>
        <v>-20000</v>
      </c>
      <c r="Z554" s="1">
        <f t="shared" si="338"/>
        <v>90000</v>
      </c>
      <c r="AA554" s="1">
        <v>90000</v>
      </c>
      <c r="AB554" s="1">
        <f t="shared" si="327"/>
        <v>0</v>
      </c>
      <c r="AC554" s="1">
        <f t="shared" si="328"/>
        <v>90000</v>
      </c>
      <c r="AD554" s="41">
        <v>90000</v>
      </c>
      <c r="AE554" s="1">
        <f t="shared" si="314"/>
        <v>0</v>
      </c>
      <c r="AF554" s="1">
        <f t="shared" si="315"/>
        <v>90000</v>
      </c>
    </row>
    <row r="555" spans="1:32">
      <c r="A555" s="11">
        <v>49300</v>
      </c>
      <c r="B555" s="11">
        <v>22199</v>
      </c>
      <c r="C555" s="11" t="s">
        <v>232</v>
      </c>
      <c r="D555" s="7">
        <v>100</v>
      </c>
      <c r="E555" s="7"/>
      <c r="F555" s="7">
        <f t="shared" si="339"/>
        <v>100</v>
      </c>
      <c r="G555" s="7"/>
      <c r="H555" s="7">
        <f t="shared" si="340"/>
        <v>100</v>
      </c>
      <c r="I555" s="1"/>
      <c r="J555" s="1">
        <f t="shared" si="341"/>
        <v>100</v>
      </c>
      <c r="K555" s="1"/>
      <c r="L555" s="1">
        <f t="shared" si="348"/>
        <v>100</v>
      </c>
      <c r="N555" s="1">
        <f t="shared" si="342"/>
        <v>100</v>
      </c>
      <c r="O555" s="1"/>
      <c r="Q555" s="1">
        <f t="shared" si="343"/>
        <v>100</v>
      </c>
      <c r="T555" s="1">
        <f t="shared" si="344"/>
        <v>100</v>
      </c>
      <c r="U555" s="1">
        <f t="shared" si="345"/>
        <v>100</v>
      </c>
      <c r="V555" s="1">
        <f t="shared" si="346"/>
        <v>0</v>
      </c>
      <c r="W555" s="1">
        <f t="shared" si="347"/>
        <v>100</v>
      </c>
      <c r="X555" s="1">
        <v>100</v>
      </c>
      <c r="Y555" s="41">
        <f t="shared" si="337"/>
        <v>0</v>
      </c>
      <c r="Z555" s="1">
        <f t="shared" si="338"/>
        <v>100</v>
      </c>
      <c r="AA555" s="1">
        <v>100</v>
      </c>
      <c r="AB555" s="1">
        <f t="shared" si="327"/>
        <v>0</v>
      </c>
      <c r="AC555" s="1">
        <f t="shared" si="328"/>
        <v>100</v>
      </c>
      <c r="AD555" s="41">
        <v>100</v>
      </c>
      <c r="AE555" s="1">
        <f t="shared" si="314"/>
        <v>0</v>
      </c>
      <c r="AF555" s="1">
        <f t="shared" si="315"/>
        <v>100</v>
      </c>
    </row>
    <row r="556" spans="1:32">
      <c r="A556" s="11">
        <v>91200</v>
      </c>
      <c r="B556" s="11">
        <v>22199</v>
      </c>
      <c r="C556" s="11" t="s">
        <v>232</v>
      </c>
      <c r="D556" s="7">
        <v>5889.92</v>
      </c>
      <c r="E556" s="7"/>
      <c r="F556" s="7">
        <f t="shared" si="339"/>
        <v>5889.92</v>
      </c>
      <c r="G556" s="7"/>
      <c r="H556" s="7">
        <f t="shared" si="340"/>
        <v>5889.92</v>
      </c>
      <c r="I556" s="1"/>
      <c r="J556" s="1">
        <f t="shared" si="341"/>
        <v>5889.92</v>
      </c>
      <c r="K556" s="1"/>
      <c r="L556" s="1">
        <f t="shared" si="348"/>
        <v>5889.92</v>
      </c>
      <c r="N556" s="1">
        <f t="shared" si="342"/>
        <v>5889.92</v>
      </c>
      <c r="O556" s="1"/>
      <c r="Q556" s="1">
        <f t="shared" si="343"/>
        <v>5889.92</v>
      </c>
      <c r="T556" s="1">
        <f t="shared" si="344"/>
        <v>5889.92</v>
      </c>
      <c r="U556" s="1">
        <f t="shared" si="345"/>
        <v>5889.92</v>
      </c>
      <c r="V556" s="1">
        <f t="shared" si="346"/>
        <v>0</v>
      </c>
      <c r="W556" s="1">
        <f t="shared" si="347"/>
        <v>5889.92</v>
      </c>
      <c r="X556" s="1">
        <v>3000</v>
      </c>
      <c r="Y556" s="41">
        <f t="shared" si="337"/>
        <v>-2889.92</v>
      </c>
      <c r="Z556" s="1">
        <f t="shared" si="338"/>
        <v>3000</v>
      </c>
      <c r="AA556" s="41">
        <v>3000</v>
      </c>
      <c r="AB556" s="1">
        <f t="shared" si="327"/>
        <v>0</v>
      </c>
      <c r="AC556" s="1">
        <f t="shared" si="328"/>
        <v>3000</v>
      </c>
      <c r="AD556" s="41">
        <v>1000</v>
      </c>
      <c r="AE556" s="1">
        <f t="shared" si="314"/>
        <v>-2000</v>
      </c>
      <c r="AF556" s="1">
        <f t="shared" si="315"/>
        <v>1000</v>
      </c>
    </row>
    <row r="557" spans="1:32">
      <c r="A557" s="11">
        <v>92000</v>
      </c>
      <c r="B557" s="11">
        <v>22199</v>
      </c>
      <c r="C557" s="11" t="s">
        <v>232</v>
      </c>
      <c r="D557" s="7">
        <v>3769.55</v>
      </c>
      <c r="E557" s="7"/>
      <c r="F557" s="7">
        <f t="shared" si="339"/>
        <v>3769.55</v>
      </c>
      <c r="G557" s="7">
        <v>1000</v>
      </c>
      <c r="H557" s="7">
        <f t="shared" si="340"/>
        <v>4769.55</v>
      </c>
      <c r="I557" s="1"/>
      <c r="J557" s="1">
        <f t="shared" si="341"/>
        <v>4769.55</v>
      </c>
      <c r="K557" s="1"/>
      <c r="L557" s="1">
        <f t="shared" si="348"/>
        <v>4769.55</v>
      </c>
      <c r="N557" s="1">
        <f t="shared" si="342"/>
        <v>4769.55</v>
      </c>
      <c r="O557" s="1"/>
      <c r="P557" s="3"/>
      <c r="Q557" s="1">
        <f t="shared" si="343"/>
        <v>4769.55</v>
      </c>
      <c r="R557" s="3"/>
      <c r="S557" s="41">
        <v>-1769.55</v>
      </c>
      <c r="T557" s="1">
        <f t="shared" si="344"/>
        <v>3000</v>
      </c>
      <c r="U557" s="1">
        <f t="shared" si="345"/>
        <v>3000</v>
      </c>
      <c r="V557" s="1">
        <f t="shared" si="346"/>
        <v>0</v>
      </c>
      <c r="W557" s="1">
        <f t="shared" si="347"/>
        <v>3000</v>
      </c>
      <c r="X557" s="41">
        <v>3000</v>
      </c>
      <c r="Y557" s="41">
        <f t="shared" si="337"/>
        <v>0</v>
      </c>
      <c r="Z557" s="1">
        <f t="shared" si="338"/>
        <v>3000</v>
      </c>
      <c r="AA557" s="41">
        <v>3000</v>
      </c>
      <c r="AB557" s="1">
        <f t="shared" si="327"/>
        <v>0</v>
      </c>
      <c r="AC557" s="1">
        <f t="shared" si="328"/>
        <v>3000</v>
      </c>
      <c r="AD557" s="41">
        <v>3000</v>
      </c>
      <c r="AE557" s="1">
        <f t="shared" si="314"/>
        <v>0</v>
      </c>
      <c r="AF557" s="1">
        <f t="shared" si="315"/>
        <v>3000</v>
      </c>
    </row>
    <row r="558" spans="1:32">
      <c r="A558" s="11">
        <v>92900</v>
      </c>
      <c r="B558" s="11">
        <v>22199</v>
      </c>
      <c r="C558" s="11" t="s">
        <v>485</v>
      </c>
      <c r="D558" s="7">
        <v>5000</v>
      </c>
      <c r="E558" s="7"/>
      <c r="F558" s="7">
        <f t="shared" si="339"/>
        <v>5000</v>
      </c>
      <c r="G558" s="7"/>
      <c r="H558" s="7">
        <f t="shared" si="340"/>
        <v>5000</v>
      </c>
      <c r="I558" s="1"/>
      <c r="J558" s="1">
        <f t="shared" si="341"/>
        <v>5000</v>
      </c>
      <c r="K558" s="1"/>
      <c r="L558" s="1">
        <f t="shared" si="348"/>
        <v>5000</v>
      </c>
      <c r="N558" s="1">
        <f t="shared" si="342"/>
        <v>5000</v>
      </c>
      <c r="O558" s="1"/>
      <c r="Q558" s="1">
        <f t="shared" si="343"/>
        <v>5000</v>
      </c>
      <c r="T558" s="1">
        <f t="shared" si="344"/>
        <v>5000</v>
      </c>
      <c r="U558" s="1">
        <f t="shared" si="345"/>
        <v>5000</v>
      </c>
      <c r="V558" s="1">
        <f t="shared" si="346"/>
        <v>0</v>
      </c>
      <c r="W558" s="1">
        <f t="shared" si="347"/>
        <v>5000</v>
      </c>
      <c r="X558" s="1">
        <v>1000</v>
      </c>
      <c r="Y558" s="41">
        <f t="shared" si="337"/>
        <v>-4000</v>
      </c>
      <c r="Z558" s="1">
        <f t="shared" si="338"/>
        <v>1000</v>
      </c>
      <c r="AA558" s="1">
        <v>1000</v>
      </c>
      <c r="AB558" s="1">
        <f t="shared" si="327"/>
        <v>0</v>
      </c>
      <c r="AC558" s="1">
        <f t="shared" si="328"/>
        <v>1000</v>
      </c>
      <c r="AD558" s="41">
        <v>4000</v>
      </c>
      <c r="AE558" s="1">
        <f t="shared" si="314"/>
        <v>3000</v>
      </c>
      <c r="AF558" s="1">
        <f t="shared" si="315"/>
        <v>4000</v>
      </c>
    </row>
    <row r="559" spans="1:32">
      <c r="A559" s="11">
        <v>92000</v>
      </c>
      <c r="B559" s="11">
        <v>22200</v>
      </c>
      <c r="C559" s="11" t="s">
        <v>252</v>
      </c>
      <c r="D559" s="7">
        <v>175424</v>
      </c>
      <c r="E559" s="7"/>
      <c r="F559" s="7">
        <f t="shared" si="339"/>
        <v>175424</v>
      </c>
      <c r="G559" s="7"/>
      <c r="H559" s="7">
        <f t="shared" si="340"/>
        <v>175424</v>
      </c>
      <c r="I559" s="1"/>
      <c r="J559" s="1">
        <f t="shared" si="341"/>
        <v>175424</v>
      </c>
      <c r="K559" s="1"/>
      <c r="L559" s="1">
        <f t="shared" si="348"/>
        <v>175424</v>
      </c>
      <c r="M559" s="7">
        <f>85000+65000-L559</f>
        <v>-25424</v>
      </c>
      <c r="N559" s="1">
        <f t="shared" si="342"/>
        <v>150000</v>
      </c>
      <c r="O559" s="1"/>
      <c r="P559" s="3"/>
      <c r="Q559" s="1">
        <f t="shared" si="343"/>
        <v>150000</v>
      </c>
      <c r="R559" s="41">
        <f>101640+30000</f>
        <v>131640</v>
      </c>
      <c r="S559" s="3"/>
      <c r="T559" s="1">
        <f t="shared" ref="T559:T569" si="349">Q559+S559</f>
        <v>150000</v>
      </c>
      <c r="U559" s="1">
        <v>150000</v>
      </c>
      <c r="V559" s="1">
        <f t="shared" si="346"/>
        <v>0</v>
      </c>
      <c r="W559" s="1">
        <f t="shared" si="347"/>
        <v>150000</v>
      </c>
      <c r="X559" s="41">
        <v>150000</v>
      </c>
      <c r="Y559" s="41">
        <f t="shared" si="337"/>
        <v>0</v>
      </c>
      <c r="Z559" s="1">
        <f t="shared" si="338"/>
        <v>150000</v>
      </c>
      <c r="AA559" s="41">
        <v>150000</v>
      </c>
      <c r="AB559" s="1">
        <f t="shared" si="327"/>
        <v>0</v>
      </c>
      <c r="AC559" s="1">
        <f t="shared" si="328"/>
        <v>150000</v>
      </c>
      <c r="AD559" s="41">
        <v>150000</v>
      </c>
      <c r="AE559" s="1">
        <f t="shared" si="314"/>
        <v>0</v>
      </c>
      <c r="AF559" s="1">
        <f t="shared" si="315"/>
        <v>150000</v>
      </c>
    </row>
    <row r="560" spans="1:32">
      <c r="A560" s="11">
        <v>92000</v>
      </c>
      <c r="B560" s="11">
        <v>22201</v>
      </c>
      <c r="C560" s="11" t="s">
        <v>253</v>
      </c>
      <c r="D560" s="7">
        <v>112121.45</v>
      </c>
      <c r="E560" s="7"/>
      <c r="F560" s="7">
        <f t="shared" si="339"/>
        <v>112121.45</v>
      </c>
      <c r="G560" s="7"/>
      <c r="H560" s="7">
        <f t="shared" si="340"/>
        <v>112121.45</v>
      </c>
      <c r="I560" s="1"/>
      <c r="J560" s="1">
        <f t="shared" si="341"/>
        <v>112121.45</v>
      </c>
      <c r="K560" s="1">
        <v>13425.18</v>
      </c>
      <c r="L560" s="1">
        <f t="shared" si="348"/>
        <v>125546.63</v>
      </c>
      <c r="M560" s="7">
        <v>-25546.63</v>
      </c>
      <c r="N560" s="1">
        <f t="shared" si="342"/>
        <v>100000</v>
      </c>
      <c r="O560" s="1"/>
      <c r="P560" s="1">
        <v>-20000</v>
      </c>
      <c r="Q560" s="1">
        <f t="shared" si="343"/>
        <v>80000</v>
      </c>
      <c r="S560" s="1">
        <v>10000</v>
      </c>
      <c r="T560" s="1">
        <f t="shared" si="349"/>
        <v>90000</v>
      </c>
      <c r="U560" s="1">
        <f t="shared" ref="U560:U569" si="350">R560+T560</f>
        <v>90000</v>
      </c>
      <c r="V560" s="1">
        <f t="shared" si="346"/>
        <v>0</v>
      </c>
      <c r="W560" s="1">
        <f t="shared" si="347"/>
        <v>90000</v>
      </c>
      <c r="X560" s="1">
        <v>90000</v>
      </c>
      <c r="Y560" s="41">
        <f t="shared" si="337"/>
        <v>0</v>
      </c>
      <c r="Z560" s="1">
        <f t="shared" si="338"/>
        <v>90000</v>
      </c>
      <c r="AA560" s="1">
        <v>90000</v>
      </c>
      <c r="AB560" s="1">
        <f t="shared" si="327"/>
        <v>0</v>
      </c>
      <c r="AC560" s="1">
        <f t="shared" si="328"/>
        <v>90000</v>
      </c>
      <c r="AD560" s="41">
        <v>90000</v>
      </c>
      <c r="AE560" s="1">
        <f t="shared" si="314"/>
        <v>0</v>
      </c>
      <c r="AF560" s="1">
        <f t="shared" si="315"/>
        <v>90000</v>
      </c>
    </row>
    <row r="561" spans="1:32">
      <c r="A561" s="11">
        <v>13000</v>
      </c>
      <c r="B561" s="11">
        <v>22300</v>
      </c>
      <c r="C561" s="11" t="s">
        <v>652</v>
      </c>
      <c r="D561" s="7">
        <v>48000</v>
      </c>
      <c r="E561" s="7"/>
      <c r="F561" s="7">
        <f t="shared" si="339"/>
        <v>48000</v>
      </c>
      <c r="G561" s="7"/>
      <c r="H561" s="7">
        <f t="shared" si="340"/>
        <v>48000</v>
      </c>
      <c r="I561" s="1"/>
      <c r="J561" s="1">
        <f t="shared" si="341"/>
        <v>48000</v>
      </c>
      <c r="K561" s="1"/>
      <c r="L561" s="1">
        <f t="shared" si="348"/>
        <v>48000</v>
      </c>
      <c r="M561" s="7">
        <v>-48000</v>
      </c>
      <c r="N561" s="1">
        <f t="shared" si="342"/>
        <v>0</v>
      </c>
      <c r="O561" s="1"/>
      <c r="Q561" s="1">
        <f t="shared" si="343"/>
        <v>0</v>
      </c>
      <c r="R561" s="1">
        <v>0</v>
      </c>
      <c r="T561" s="1">
        <f t="shared" si="349"/>
        <v>0</v>
      </c>
      <c r="U561" s="1">
        <f t="shared" si="350"/>
        <v>0</v>
      </c>
      <c r="V561" s="1">
        <f t="shared" si="346"/>
        <v>0</v>
      </c>
      <c r="W561" s="1">
        <f t="shared" si="347"/>
        <v>0</v>
      </c>
      <c r="X561" s="1">
        <v>0</v>
      </c>
      <c r="Y561" s="41">
        <f t="shared" si="337"/>
        <v>0</v>
      </c>
      <c r="Z561" s="1">
        <f t="shared" si="338"/>
        <v>0</v>
      </c>
      <c r="AA561" s="1">
        <f>X561+Z561</f>
        <v>0</v>
      </c>
      <c r="AB561" s="1">
        <f t="shared" si="327"/>
        <v>0</v>
      </c>
      <c r="AC561" s="1">
        <f t="shared" si="328"/>
        <v>0</v>
      </c>
      <c r="AD561" s="41">
        <v>0</v>
      </c>
      <c r="AE561" s="1">
        <f t="shared" si="314"/>
        <v>0</v>
      </c>
      <c r="AF561" s="1">
        <f t="shared" si="315"/>
        <v>0</v>
      </c>
    </row>
    <row r="562" spans="1:32">
      <c r="A562" s="11">
        <v>33400</v>
      </c>
      <c r="B562" s="11">
        <v>22300</v>
      </c>
      <c r="C562" s="11" t="s">
        <v>426</v>
      </c>
      <c r="D562" s="7">
        <v>400</v>
      </c>
      <c r="E562" s="7"/>
      <c r="F562" s="7">
        <f t="shared" si="339"/>
        <v>400</v>
      </c>
      <c r="G562" s="7"/>
      <c r="H562" s="7">
        <f t="shared" si="340"/>
        <v>400</v>
      </c>
      <c r="I562" s="1"/>
      <c r="J562" s="1">
        <f t="shared" si="341"/>
        <v>400</v>
      </c>
      <c r="K562" s="1"/>
      <c r="L562" s="1">
        <f t="shared" si="348"/>
        <v>400</v>
      </c>
      <c r="N562" s="1">
        <f t="shared" si="342"/>
        <v>400</v>
      </c>
      <c r="O562" s="1"/>
      <c r="Q562" s="1">
        <f t="shared" si="343"/>
        <v>400</v>
      </c>
      <c r="T562" s="1">
        <f t="shared" si="349"/>
        <v>400</v>
      </c>
      <c r="U562" s="1">
        <f t="shared" si="350"/>
        <v>400</v>
      </c>
      <c r="V562" s="1">
        <f t="shared" si="346"/>
        <v>0</v>
      </c>
      <c r="W562" s="1">
        <f t="shared" si="347"/>
        <v>400</v>
      </c>
      <c r="X562" s="1">
        <v>1000</v>
      </c>
      <c r="Y562" s="41">
        <f t="shared" si="337"/>
        <v>600</v>
      </c>
      <c r="Z562" s="1">
        <f t="shared" si="338"/>
        <v>1000</v>
      </c>
      <c r="AA562" s="1">
        <v>0</v>
      </c>
      <c r="AB562" s="1">
        <f t="shared" si="327"/>
        <v>-1000</v>
      </c>
      <c r="AC562" s="1">
        <f t="shared" si="328"/>
        <v>0</v>
      </c>
      <c r="AD562" s="41">
        <v>0</v>
      </c>
      <c r="AE562" s="1">
        <f t="shared" si="314"/>
        <v>0</v>
      </c>
      <c r="AF562" s="1">
        <f t="shared" si="315"/>
        <v>0</v>
      </c>
    </row>
    <row r="563" spans="1:32">
      <c r="A563" s="11">
        <v>33600</v>
      </c>
      <c r="B563" s="11">
        <v>22300</v>
      </c>
      <c r="C563" s="11" t="s">
        <v>465</v>
      </c>
      <c r="D563" s="7">
        <v>2404.0500000000002</v>
      </c>
      <c r="E563" s="7"/>
      <c r="F563" s="7">
        <f t="shared" si="339"/>
        <v>2404.0500000000002</v>
      </c>
      <c r="G563" s="7">
        <v>-1404.05</v>
      </c>
      <c r="H563" s="7">
        <f t="shared" si="340"/>
        <v>1000.0000000000002</v>
      </c>
      <c r="I563" s="1"/>
      <c r="J563" s="1">
        <f t="shared" si="341"/>
        <v>1000.0000000000002</v>
      </c>
      <c r="K563" s="1"/>
      <c r="L563" s="1">
        <f t="shared" si="348"/>
        <v>1000.0000000000002</v>
      </c>
      <c r="N563" s="1">
        <f t="shared" si="342"/>
        <v>1000.0000000000002</v>
      </c>
      <c r="O563" s="1"/>
      <c r="Q563" s="1">
        <f t="shared" si="343"/>
        <v>1000.0000000000002</v>
      </c>
      <c r="T563" s="1">
        <f t="shared" si="349"/>
        <v>1000.0000000000002</v>
      </c>
      <c r="U563" s="1">
        <f t="shared" si="350"/>
        <v>1000.0000000000002</v>
      </c>
      <c r="V563" s="1">
        <f t="shared" si="346"/>
        <v>0</v>
      </c>
      <c r="W563" s="1">
        <f t="shared" si="347"/>
        <v>1000.0000000000002</v>
      </c>
      <c r="X563" s="1">
        <v>0</v>
      </c>
      <c r="Y563" s="41">
        <f t="shared" si="337"/>
        <v>-1000.0000000000002</v>
      </c>
      <c r="Z563" s="1">
        <f t="shared" si="338"/>
        <v>0</v>
      </c>
      <c r="AA563" s="1">
        <v>0</v>
      </c>
      <c r="AB563" s="1">
        <f t="shared" ref="AB563:AB577" si="351">AA563-Z563</f>
        <v>0</v>
      </c>
      <c r="AC563" s="1">
        <f t="shared" ref="AC563:AC577" si="352">Z563+AB563</f>
        <v>0</v>
      </c>
      <c r="AD563" s="41">
        <v>0</v>
      </c>
      <c r="AE563" s="1">
        <f t="shared" si="314"/>
        <v>0</v>
      </c>
      <c r="AF563" s="1">
        <f t="shared" si="315"/>
        <v>0</v>
      </c>
    </row>
    <row r="564" spans="1:32">
      <c r="A564" s="13">
        <v>43200</v>
      </c>
      <c r="B564" s="11">
        <v>22300</v>
      </c>
      <c r="C564" s="11" t="s">
        <v>520</v>
      </c>
      <c r="D564" s="7">
        <v>2452.13</v>
      </c>
      <c r="E564" s="7"/>
      <c r="F564" s="7">
        <f t="shared" si="339"/>
        <v>2452.13</v>
      </c>
      <c r="G564" s="7">
        <v>-1452.13</v>
      </c>
      <c r="H564" s="7">
        <f t="shared" si="340"/>
        <v>1000</v>
      </c>
      <c r="I564" s="1"/>
      <c r="J564" s="1">
        <f t="shared" si="341"/>
        <v>1000</v>
      </c>
      <c r="K564" s="1"/>
      <c r="L564" s="1">
        <f t="shared" si="348"/>
        <v>1000</v>
      </c>
      <c r="N564" s="1">
        <f t="shared" si="342"/>
        <v>1000</v>
      </c>
      <c r="O564" s="1"/>
      <c r="Q564" s="1">
        <f t="shared" si="343"/>
        <v>1000</v>
      </c>
      <c r="T564" s="1">
        <f t="shared" si="349"/>
        <v>1000</v>
      </c>
      <c r="U564" s="1">
        <f t="shared" si="350"/>
        <v>1000</v>
      </c>
      <c r="V564" s="1">
        <f t="shared" si="346"/>
        <v>0</v>
      </c>
      <c r="W564" s="1">
        <f t="shared" si="347"/>
        <v>1000</v>
      </c>
      <c r="X564" s="1">
        <v>1000</v>
      </c>
      <c r="Y564" s="41">
        <f t="shared" si="337"/>
        <v>0</v>
      </c>
      <c r="Z564" s="1">
        <f t="shared" si="338"/>
        <v>1000</v>
      </c>
      <c r="AA564" s="1">
        <v>3000</v>
      </c>
      <c r="AB564" s="41">
        <f t="shared" si="351"/>
        <v>2000</v>
      </c>
      <c r="AC564" s="1">
        <f t="shared" si="352"/>
        <v>3000</v>
      </c>
      <c r="AD564" s="41">
        <v>0</v>
      </c>
      <c r="AE564" s="1">
        <f t="shared" si="314"/>
        <v>-3000</v>
      </c>
      <c r="AF564" s="1">
        <f t="shared" si="315"/>
        <v>0</v>
      </c>
    </row>
    <row r="565" spans="1:32">
      <c r="A565" s="11">
        <v>45900</v>
      </c>
      <c r="B565" s="11">
        <v>22300</v>
      </c>
      <c r="C565" s="11" t="s">
        <v>176</v>
      </c>
      <c r="D565" s="7">
        <v>721.22</v>
      </c>
      <c r="E565" s="7"/>
      <c r="F565" s="7">
        <f t="shared" si="339"/>
        <v>721.22</v>
      </c>
      <c r="G565" s="7"/>
      <c r="H565" s="7">
        <f t="shared" si="340"/>
        <v>721.22</v>
      </c>
      <c r="I565" s="1"/>
      <c r="J565" s="1">
        <f t="shared" si="341"/>
        <v>721.22</v>
      </c>
      <c r="K565" s="1"/>
      <c r="L565" s="1">
        <f t="shared" si="348"/>
        <v>721.22</v>
      </c>
      <c r="N565" s="1">
        <f t="shared" si="342"/>
        <v>721.22</v>
      </c>
      <c r="O565" s="1"/>
      <c r="Q565" s="1">
        <f t="shared" si="343"/>
        <v>721.22</v>
      </c>
      <c r="T565" s="1">
        <f t="shared" si="349"/>
        <v>721.22</v>
      </c>
      <c r="U565" s="1">
        <f t="shared" si="350"/>
        <v>721.22</v>
      </c>
      <c r="V565" s="1">
        <f t="shared" si="346"/>
        <v>0</v>
      </c>
      <c r="W565" s="1">
        <f t="shared" si="347"/>
        <v>721.22</v>
      </c>
      <c r="X565" s="1">
        <v>1000</v>
      </c>
      <c r="Y565" s="41">
        <f t="shared" si="337"/>
        <v>278.77999999999997</v>
      </c>
      <c r="Z565" s="1">
        <f t="shared" si="338"/>
        <v>1000</v>
      </c>
      <c r="AA565" s="1">
        <v>1000</v>
      </c>
      <c r="AB565" s="1">
        <f t="shared" si="351"/>
        <v>0</v>
      </c>
      <c r="AC565" s="1">
        <f t="shared" si="352"/>
        <v>1000</v>
      </c>
      <c r="AD565" s="41">
        <v>500</v>
      </c>
      <c r="AE565" s="1">
        <f t="shared" si="314"/>
        <v>-500</v>
      </c>
      <c r="AF565" s="1">
        <f t="shared" si="315"/>
        <v>500</v>
      </c>
    </row>
    <row r="566" spans="1:32">
      <c r="A566" s="13">
        <v>13500</v>
      </c>
      <c r="B566" s="11">
        <v>22400</v>
      </c>
      <c r="C566" s="11" t="s">
        <v>315</v>
      </c>
      <c r="D566" s="7">
        <v>3600</v>
      </c>
      <c r="E566" s="7"/>
      <c r="F566" s="7">
        <f t="shared" si="339"/>
        <v>3600</v>
      </c>
      <c r="G566" s="7"/>
      <c r="H566" s="7">
        <f t="shared" si="340"/>
        <v>3600</v>
      </c>
      <c r="I566" s="1"/>
      <c r="J566" s="1">
        <f t="shared" si="341"/>
        <v>3600</v>
      </c>
      <c r="K566" s="1"/>
      <c r="L566" s="1">
        <f t="shared" si="348"/>
        <v>3600</v>
      </c>
      <c r="N566" s="1">
        <f t="shared" si="342"/>
        <v>3600</v>
      </c>
      <c r="O566" s="1"/>
      <c r="Q566" s="1">
        <f t="shared" si="343"/>
        <v>3600</v>
      </c>
      <c r="S566" s="1">
        <v>-1500</v>
      </c>
      <c r="T566" s="1">
        <f t="shared" si="349"/>
        <v>2100</v>
      </c>
      <c r="U566" s="1">
        <f t="shared" si="350"/>
        <v>2100</v>
      </c>
      <c r="V566" s="1">
        <f t="shared" si="346"/>
        <v>0</v>
      </c>
      <c r="W566" s="1">
        <f t="shared" si="347"/>
        <v>2100</v>
      </c>
      <c r="X566" s="1">
        <v>2100</v>
      </c>
      <c r="Y566" s="41">
        <f t="shared" si="337"/>
        <v>0</v>
      </c>
      <c r="Z566" s="1">
        <f t="shared" si="338"/>
        <v>2100</v>
      </c>
      <c r="AA566" s="1">
        <v>2100</v>
      </c>
      <c r="AB566" s="41">
        <f t="shared" si="351"/>
        <v>0</v>
      </c>
      <c r="AC566" s="1">
        <f t="shared" si="352"/>
        <v>2100</v>
      </c>
      <c r="AD566" s="41">
        <v>2000</v>
      </c>
      <c r="AE566" s="1">
        <f t="shared" si="314"/>
        <v>-100</v>
      </c>
      <c r="AF566" s="1">
        <f t="shared" si="315"/>
        <v>2000</v>
      </c>
    </row>
    <row r="567" spans="1:32">
      <c r="A567" s="13">
        <v>23110</v>
      </c>
      <c r="B567" s="11">
        <v>22400</v>
      </c>
      <c r="C567" s="11" t="s">
        <v>326</v>
      </c>
      <c r="D567" s="8"/>
      <c r="E567" s="8"/>
      <c r="F567" s="8"/>
      <c r="G567" s="8"/>
      <c r="H567" s="8"/>
      <c r="I567" s="8"/>
      <c r="J567" s="8"/>
      <c r="K567" s="8"/>
      <c r="L567" s="10">
        <v>1215</v>
      </c>
      <c r="M567" s="10">
        <v>0</v>
      </c>
      <c r="N567" s="7">
        <f t="shared" si="342"/>
        <v>1215</v>
      </c>
      <c r="O567" s="7"/>
      <c r="P567" s="3"/>
      <c r="Q567" s="1">
        <f t="shared" si="343"/>
        <v>1215</v>
      </c>
      <c r="R567" s="3"/>
      <c r="S567" s="3"/>
      <c r="T567" s="1">
        <f t="shared" si="349"/>
        <v>1215</v>
      </c>
      <c r="U567" s="1">
        <f t="shared" si="350"/>
        <v>1215</v>
      </c>
      <c r="V567" s="1">
        <f t="shared" si="346"/>
        <v>0</v>
      </c>
      <c r="W567" s="1">
        <f t="shared" si="347"/>
        <v>1215</v>
      </c>
      <c r="X567" s="41">
        <v>300</v>
      </c>
      <c r="Y567" s="41">
        <f t="shared" si="337"/>
        <v>-915</v>
      </c>
      <c r="Z567" s="1">
        <f t="shared" si="338"/>
        <v>300</v>
      </c>
      <c r="AA567" s="41">
        <v>300</v>
      </c>
      <c r="AB567" s="41">
        <f t="shared" si="351"/>
        <v>0</v>
      </c>
      <c r="AC567" s="1">
        <f t="shared" si="352"/>
        <v>300</v>
      </c>
      <c r="AD567" s="41">
        <v>300</v>
      </c>
      <c r="AE567" s="1">
        <f t="shared" si="314"/>
        <v>0</v>
      </c>
      <c r="AF567" s="1">
        <f t="shared" si="315"/>
        <v>300</v>
      </c>
    </row>
    <row r="568" spans="1:32">
      <c r="A568" s="13">
        <v>23111</v>
      </c>
      <c r="B568" s="11">
        <v>22400</v>
      </c>
      <c r="C568" s="11" t="s">
        <v>664</v>
      </c>
      <c r="D568" s="7"/>
      <c r="E568" s="7"/>
      <c r="F568" s="7"/>
      <c r="G568" s="7"/>
      <c r="H568" s="7"/>
      <c r="I568" s="7"/>
      <c r="J568" s="7"/>
      <c r="K568" s="7"/>
      <c r="L568" s="7"/>
      <c r="M568" s="10"/>
      <c r="N568" s="7">
        <v>0</v>
      </c>
      <c r="O568" s="7"/>
      <c r="P568" s="1">
        <v>5000</v>
      </c>
      <c r="Q568" s="1">
        <f t="shared" si="343"/>
        <v>5000</v>
      </c>
      <c r="T568" s="1">
        <f t="shared" si="349"/>
        <v>5000</v>
      </c>
      <c r="U568" s="1">
        <f t="shared" si="350"/>
        <v>5000</v>
      </c>
      <c r="V568" s="1">
        <f t="shared" si="346"/>
        <v>0</v>
      </c>
      <c r="W568" s="1">
        <f t="shared" si="347"/>
        <v>5000</v>
      </c>
      <c r="X568" s="1">
        <v>0</v>
      </c>
      <c r="Y568" s="41">
        <f t="shared" si="337"/>
        <v>-5000</v>
      </c>
      <c r="Z568" s="1">
        <f t="shared" si="338"/>
        <v>0</v>
      </c>
      <c r="AA568" s="1">
        <v>0</v>
      </c>
      <c r="AB568" s="41">
        <f t="shared" si="351"/>
        <v>0</v>
      </c>
      <c r="AC568" s="1">
        <f t="shared" si="352"/>
        <v>0</v>
      </c>
      <c r="AD568" s="41">
        <v>0</v>
      </c>
      <c r="AE568" s="1">
        <f t="shared" si="314"/>
        <v>0</v>
      </c>
      <c r="AF568" s="1">
        <f t="shared" si="315"/>
        <v>0</v>
      </c>
    </row>
    <row r="569" spans="1:32">
      <c r="A569" s="11">
        <v>92000</v>
      </c>
      <c r="B569" s="11">
        <v>22400</v>
      </c>
      <c r="C569" s="11" t="s">
        <v>254</v>
      </c>
      <c r="D569" s="7">
        <v>150000</v>
      </c>
      <c r="E569" s="7"/>
      <c r="F569" s="7">
        <f>D569-E569</f>
        <v>150000</v>
      </c>
      <c r="G569" s="7"/>
      <c r="H569" s="7">
        <f>D569+G569</f>
        <v>150000</v>
      </c>
      <c r="I569" s="1"/>
      <c r="J569" s="1">
        <f>H569-I569</f>
        <v>150000</v>
      </c>
      <c r="K569" s="1">
        <v>10000</v>
      </c>
      <c r="L569" s="1">
        <f>H569+K569</f>
        <v>160000</v>
      </c>
      <c r="M569" s="7">
        <v>25000</v>
      </c>
      <c r="N569" s="1">
        <f>L569+M569</f>
        <v>185000</v>
      </c>
      <c r="O569" s="1"/>
      <c r="P569" s="1">
        <v>-50000</v>
      </c>
      <c r="Q569" s="1">
        <f t="shared" si="343"/>
        <v>135000</v>
      </c>
      <c r="T569" s="1">
        <f t="shared" si="349"/>
        <v>135000</v>
      </c>
      <c r="U569" s="1">
        <f t="shared" si="350"/>
        <v>135000</v>
      </c>
      <c r="V569" s="1">
        <f t="shared" si="346"/>
        <v>0</v>
      </c>
      <c r="W569" s="1">
        <f t="shared" si="347"/>
        <v>135000</v>
      </c>
      <c r="X569" s="1">
        <v>135000</v>
      </c>
      <c r="Y569" s="41">
        <f t="shared" si="337"/>
        <v>0</v>
      </c>
      <c r="Z569" s="1">
        <f t="shared" si="338"/>
        <v>135000</v>
      </c>
      <c r="AA569" s="1">
        <v>135000</v>
      </c>
      <c r="AB569" s="1">
        <f t="shared" si="351"/>
        <v>0</v>
      </c>
      <c r="AC569" s="1">
        <f t="shared" si="352"/>
        <v>135000</v>
      </c>
      <c r="AD569" s="41">
        <v>135000</v>
      </c>
      <c r="AE569" s="1">
        <f t="shared" si="314"/>
        <v>0</v>
      </c>
      <c r="AF569" s="1">
        <f t="shared" si="315"/>
        <v>135000</v>
      </c>
    </row>
    <row r="570" spans="1:32">
      <c r="A570" s="42">
        <v>43200</v>
      </c>
      <c r="B570" s="11">
        <v>22500</v>
      </c>
      <c r="C570" s="39" t="s">
        <v>740</v>
      </c>
      <c r="D570" s="7"/>
      <c r="E570" s="7"/>
      <c r="F570" s="7"/>
      <c r="G570" s="7"/>
      <c r="H570" s="7"/>
      <c r="I570" s="1"/>
      <c r="J570" s="1"/>
      <c r="K570" s="1"/>
      <c r="L570" s="1"/>
      <c r="N570" s="1"/>
      <c r="O570" s="1"/>
      <c r="T570" s="1">
        <v>0</v>
      </c>
      <c r="U570" s="1">
        <v>65000</v>
      </c>
      <c r="V570" s="1">
        <f t="shared" si="346"/>
        <v>65000</v>
      </c>
      <c r="W570" s="1">
        <f t="shared" si="347"/>
        <v>65000</v>
      </c>
      <c r="X570" s="41">
        <v>0</v>
      </c>
      <c r="Y570" s="41">
        <f t="shared" si="337"/>
        <v>-65000</v>
      </c>
      <c r="Z570" s="1">
        <f t="shared" si="338"/>
        <v>0</v>
      </c>
      <c r="AA570" s="1">
        <v>0</v>
      </c>
      <c r="AB570" s="41">
        <f t="shared" si="351"/>
        <v>0</v>
      </c>
      <c r="AC570" s="1">
        <f t="shared" si="352"/>
        <v>0</v>
      </c>
      <c r="AD570" s="41">
        <v>0</v>
      </c>
      <c r="AE570" s="1">
        <f t="shared" si="314"/>
        <v>0</v>
      </c>
      <c r="AF570" s="1">
        <f t="shared" si="315"/>
        <v>0</v>
      </c>
    </row>
    <row r="571" spans="1:32">
      <c r="A571" s="13">
        <v>43900</v>
      </c>
      <c r="B571" s="11">
        <v>22500</v>
      </c>
      <c r="C571" s="42" t="s">
        <v>859</v>
      </c>
      <c r="D571" s="8">
        <f>SUBTOTAL(9,D524:D564)</f>
        <v>864124.10999999987</v>
      </c>
      <c r="E571" s="8">
        <f>SUBTOTAL(9,E524:E564)</f>
        <v>232550</v>
      </c>
      <c r="F571" s="8">
        <f>SUBTOTAL(9,F524:F564)</f>
        <v>631574.11</v>
      </c>
      <c r="G571" s="8">
        <f>SUBTOTAL(9,G524:G564)</f>
        <v>-56413.22</v>
      </c>
      <c r="H571" s="8">
        <f t="shared" ref="H571:Q571" si="353">SUBTOTAL(9,H524:H569)</f>
        <v>962032.10999999987</v>
      </c>
      <c r="I571" s="8">
        <f t="shared" si="353"/>
        <v>0</v>
      </c>
      <c r="J571" s="8">
        <f t="shared" si="353"/>
        <v>962032.10999999987</v>
      </c>
      <c r="K571" s="8">
        <f t="shared" si="353"/>
        <v>23425.18</v>
      </c>
      <c r="L571" s="8">
        <f t="shared" si="353"/>
        <v>987273.29999999993</v>
      </c>
      <c r="M571" s="8">
        <f t="shared" si="353"/>
        <v>-24970.630000000005</v>
      </c>
      <c r="N571" s="8">
        <f t="shared" si="353"/>
        <v>962302.66999999993</v>
      </c>
      <c r="O571" s="8">
        <f t="shared" si="353"/>
        <v>0</v>
      </c>
      <c r="P571" s="8">
        <f t="shared" si="353"/>
        <v>-63000</v>
      </c>
      <c r="Q571" s="8">
        <f t="shared" si="353"/>
        <v>899302.66999999993</v>
      </c>
      <c r="R571" s="3"/>
      <c r="S571" s="8">
        <f>SUBTOTAL(9,S524:S569)</f>
        <v>35674.479999999996</v>
      </c>
      <c r="T571" s="8">
        <f>SUBTOTAL(9,T524:T569)</f>
        <v>934977.15</v>
      </c>
      <c r="U571" s="8">
        <f>SUBTOTAL(9,U524:U569)</f>
        <v>979376.14</v>
      </c>
      <c r="V571" s="8">
        <f>SUBTOTAL(9,V524:V569)</f>
        <v>44398.99</v>
      </c>
      <c r="W571" s="8">
        <f>SUBTOTAL(9,W524:W569)</f>
        <v>979376.14</v>
      </c>
      <c r="X571" s="8">
        <f>SUBTOTAL(9,X568:X569)</f>
        <v>135000</v>
      </c>
      <c r="Y571" s="8">
        <f>SUBTOTAL(9,Y568:Y569)</f>
        <v>-5000</v>
      </c>
      <c r="Z571" s="47">
        <v>65000</v>
      </c>
      <c r="AA571" s="47">
        <v>65000</v>
      </c>
      <c r="AB571" s="41">
        <f t="shared" si="351"/>
        <v>0</v>
      </c>
      <c r="AC571" s="1">
        <f t="shared" si="352"/>
        <v>65000</v>
      </c>
      <c r="AD571" s="41">
        <v>0</v>
      </c>
      <c r="AE571" s="1">
        <f t="shared" si="314"/>
        <v>-65000</v>
      </c>
      <c r="AF571" s="1">
        <f t="shared" si="315"/>
        <v>0</v>
      </c>
    </row>
    <row r="572" spans="1:32">
      <c r="A572" s="11">
        <v>93100</v>
      </c>
      <c r="B572" s="11">
        <v>22500</v>
      </c>
      <c r="C572" s="39" t="s">
        <v>674</v>
      </c>
      <c r="D572" s="7"/>
      <c r="E572" s="7"/>
      <c r="F572" s="7"/>
      <c r="G572" s="7"/>
      <c r="H572" s="7"/>
      <c r="I572" s="1"/>
      <c r="J572" s="1"/>
      <c r="K572" s="1"/>
      <c r="L572" s="1"/>
      <c r="N572" s="1"/>
      <c r="O572" s="1"/>
      <c r="Q572" s="1">
        <v>0</v>
      </c>
      <c r="S572" s="1">
        <v>2500</v>
      </c>
      <c r="T572" s="1">
        <f>Q572+S572</f>
        <v>2500</v>
      </c>
      <c r="U572" s="1">
        <v>2500</v>
      </c>
      <c r="V572" s="1">
        <f t="shared" ref="V572:V577" si="354">U572-T572</f>
        <v>0</v>
      </c>
      <c r="W572" s="1">
        <f t="shared" ref="W572:W577" si="355">T572+V572</f>
        <v>2500</v>
      </c>
      <c r="X572" s="1">
        <v>2500</v>
      </c>
      <c r="Y572" s="41">
        <f t="shared" ref="Y572:Y577" si="356">X572-W572</f>
        <v>0</v>
      </c>
      <c r="Z572" s="1">
        <f t="shared" ref="Z572:Z577" si="357">W572+Y572</f>
        <v>2500</v>
      </c>
      <c r="AA572" s="1">
        <v>2500</v>
      </c>
      <c r="AB572" s="1">
        <f t="shared" si="351"/>
        <v>0</v>
      </c>
      <c r="AC572" s="1">
        <f t="shared" si="352"/>
        <v>2500</v>
      </c>
      <c r="AD572" s="41">
        <v>2000</v>
      </c>
      <c r="AE572" s="1">
        <f t="shared" si="314"/>
        <v>-500</v>
      </c>
      <c r="AF572" s="1">
        <f t="shared" si="315"/>
        <v>2000</v>
      </c>
    </row>
    <row r="573" spans="1:32">
      <c r="A573" s="42">
        <v>17000</v>
      </c>
      <c r="B573" s="11">
        <v>22501</v>
      </c>
      <c r="C573" s="11" t="s">
        <v>885</v>
      </c>
      <c r="D573" s="7"/>
      <c r="E573" s="7"/>
      <c r="F573" s="7"/>
      <c r="G573" s="7"/>
      <c r="H573" s="7"/>
      <c r="I573" s="1"/>
      <c r="J573" s="1"/>
      <c r="K573" s="1"/>
      <c r="L573" s="1"/>
      <c r="N573" s="1"/>
      <c r="O573" s="1"/>
      <c r="Q573" s="1">
        <v>0</v>
      </c>
      <c r="R573" s="1">
        <v>32346.57</v>
      </c>
      <c r="S573" s="1">
        <f>R573-Q573</f>
        <v>32346.57</v>
      </c>
      <c r="T573" s="1">
        <f>Q573+S573</f>
        <v>32346.57</v>
      </c>
      <c r="U573" s="1">
        <v>129386.29</v>
      </c>
      <c r="V573" s="1">
        <f t="shared" si="354"/>
        <v>97039.72</v>
      </c>
      <c r="W573" s="1">
        <f t="shared" si="355"/>
        <v>129386.29000000001</v>
      </c>
      <c r="X573" s="1">
        <v>131272.94</v>
      </c>
      <c r="Y573" s="41">
        <f t="shared" si="356"/>
        <v>1886.6499999999942</v>
      </c>
      <c r="Z573" s="1">
        <f t="shared" si="357"/>
        <v>131272.94</v>
      </c>
      <c r="AA573" s="1">
        <f>45000+40888.05+26194.06</f>
        <v>112082.11</v>
      </c>
      <c r="AB573" s="1">
        <f t="shared" si="351"/>
        <v>-19190.830000000002</v>
      </c>
      <c r="AC573" s="1">
        <f t="shared" si="352"/>
        <v>112082.11</v>
      </c>
      <c r="AD573" s="41">
        <v>0</v>
      </c>
      <c r="AE573" s="1">
        <f t="shared" si="314"/>
        <v>-112082.11</v>
      </c>
      <c r="AF573" s="1">
        <f t="shared" si="315"/>
        <v>0</v>
      </c>
    </row>
    <row r="574" spans="1:32">
      <c r="A574" s="13">
        <v>43200</v>
      </c>
      <c r="B574" s="11">
        <v>22501</v>
      </c>
      <c r="C574" s="11" t="s">
        <v>112</v>
      </c>
      <c r="D574" s="7">
        <v>0</v>
      </c>
      <c r="E574" s="7"/>
      <c r="F574" s="7">
        <f>D574-E574</f>
        <v>0</v>
      </c>
      <c r="G574" s="7">
        <v>24000</v>
      </c>
      <c r="H574" s="7">
        <f>D574+G574</f>
        <v>24000</v>
      </c>
      <c r="I574" s="1"/>
      <c r="J574" s="1">
        <f>H574-I574</f>
        <v>24000</v>
      </c>
      <c r="K574" s="1"/>
      <c r="L574" s="1">
        <f>H574+K574</f>
        <v>24000</v>
      </c>
      <c r="N574" s="1">
        <f>L574+M574</f>
        <v>24000</v>
      </c>
      <c r="O574" s="1"/>
      <c r="Q574" s="1">
        <f>N574+P574</f>
        <v>24000</v>
      </c>
      <c r="S574" s="1">
        <v>23000</v>
      </c>
      <c r="T574" s="1">
        <v>67496.73</v>
      </c>
      <c r="U574" s="1">
        <v>20496.73</v>
      </c>
      <c r="V574" s="1">
        <f t="shared" si="354"/>
        <v>-47000</v>
      </c>
      <c r="W574" s="1">
        <f t="shared" si="355"/>
        <v>20496.729999999996</v>
      </c>
      <c r="X574" s="1">
        <v>21000</v>
      </c>
      <c r="Y574" s="41">
        <f t="shared" si="356"/>
        <v>503.27000000000407</v>
      </c>
      <c r="Z574" s="1">
        <f t="shared" si="357"/>
        <v>21000</v>
      </c>
      <c r="AA574" s="1">
        <f>24134.6+12875.2</f>
        <v>37009.800000000003</v>
      </c>
      <c r="AB574" s="41">
        <f t="shared" si="351"/>
        <v>16009.800000000003</v>
      </c>
      <c r="AC574" s="1">
        <f t="shared" si="352"/>
        <v>37009.800000000003</v>
      </c>
      <c r="AD574" s="41">
        <v>0</v>
      </c>
      <c r="AE574" s="1">
        <f t="shared" si="314"/>
        <v>-37009.800000000003</v>
      </c>
      <c r="AF574" s="1">
        <f t="shared" si="315"/>
        <v>0</v>
      </c>
    </row>
    <row r="575" spans="1:32">
      <c r="A575" s="11">
        <v>93100</v>
      </c>
      <c r="B575" s="11">
        <v>22502</v>
      </c>
      <c r="C575" s="11" t="s">
        <v>660</v>
      </c>
      <c r="D575" s="7"/>
      <c r="E575" s="7"/>
      <c r="F575" s="7"/>
      <c r="G575" s="7"/>
      <c r="H575" s="7"/>
      <c r="I575" s="1"/>
      <c r="J575" s="1"/>
      <c r="K575" s="1"/>
      <c r="L575" s="1"/>
      <c r="N575" s="1">
        <v>0</v>
      </c>
      <c r="O575" s="1"/>
      <c r="P575" s="1">
        <v>5000</v>
      </c>
      <c r="Q575" s="1">
        <f>N575+P575</f>
        <v>5000</v>
      </c>
      <c r="S575" s="1">
        <v>-2500</v>
      </c>
      <c r="T575" s="1">
        <f>Q575+S575</f>
        <v>2500</v>
      </c>
      <c r="U575" s="1">
        <v>2500</v>
      </c>
      <c r="V575" s="1">
        <f t="shared" si="354"/>
        <v>0</v>
      </c>
      <c r="W575" s="1">
        <f t="shared" si="355"/>
        <v>2500</v>
      </c>
      <c r="X575" s="1">
        <v>25000</v>
      </c>
      <c r="Y575" s="41">
        <f t="shared" si="356"/>
        <v>22500</v>
      </c>
      <c r="Z575" s="1">
        <f t="shared" si="357"/>
        <v>25000</v>
      </c>
      <c r="AA575" s="1">
        <v>20000</v>
      </c>
      <c r="AB575" s="1">
        <f t="shared" si="351"/>
        <v>-5000</v>
      </c>
      <c r="AC575" s="1">
        <f t="shared" si="352"/>
        <v>20000</v>
      </c>
      <c r="AD575" s="41">
        <f>15000+1050000</f>
        <v>1065000</v>
      </c>
      <c r="AE575" s="1">
        <f t="shared" si="314"/>
        <v>1045000</v>
      </c>
      <c r="AF575" s="1">
        <f t="shared" si="315"/>
        <v>1065000</v>
      </c>
    </row>
    <row r="576" spans="1:32">
      <c r="A576" s="11">
        <v>32000</v>
      </c>
      <c r="B576" s="11">
        <v>22601</v>
      </c>
      <c r="C576" s="11" t="s">
        <v>369</v>
      </c>
      <c r="D576" s="7">
        <v>800</v>
      </c>
      <c r="E576" s="7"/>
      <c r="F576" s="7">
        <f>D576-E576</f>
        <v>800</v>
      </c>
      <c r="G576" s="7"/>
      <c r="H576" s="7">
        <f>D576+G576</f>
        <v>800</v>
      </c>
      <c r="I576" s="1"/>
      <c r="J576" s="1">
        <f>H576-I576</f>
        <v>800</v>
      </c>
      <c r="K576" s="1"/>
      <c r="L576" s="1">
        <f>H576+K576</f>
        <v>800</v>
      </c>
      <c r="N576" s="1">
        <f>L576+M576</f>
        <v>800</v>
      </c>
      <c r="O576" s="1"/>
      <c r="P576" s="3"/>
      <c r="Q576" s="1">
        <f>N576+P576</f>
        <v>800</v>
      </c>
      <c r="R576" s="3"/>
      <c r="S576" s="3"/>
      <c r="T576" s="1">
        <f>Q576+S576</f>
        <v>800</v>
      </c>
      <c r="U576" s="1">
        <f>R576+T576</f>
        <v>800</v>
      </c>
      <c r="V576" s="1">
        <f t="shared" si="354"/>
        <v>0</v>
      </c>
      <c r="W576" s="1">
        <f t="shared" si="355"/>
        <v>800</v>
      </c>
      <c r="X576" s="41">
        <v>200</v>
      </c>
      <c r="Y576" s="41">
        <f t="shared" si="356"/>
        <v>-600</v>
      </c>
      <c r="Z576" s="1">
        <f t="shared" si="357"/>
        <v>200</v>
      </c>
      <c r="AA576" s="41">
        <v>200</v>
      </c>
      <c r="AB576" s="41">
        <f t="shared" si="351"/>
        <v>0</v>
      </c>
      <c r="AC576" s="1">
        <f t="shared" si="352"/>
        <v>200</v>
      </c>
      <c r="AD576" s="41">
        <v>0</v>
      </c>
      <c r="AE576" s="1">
        <f t="shared" si="314"/>
        <v>-200</v>
      </c>
      <c r="AF576" s="1">
        <f t="shared" si="315"/>
        <v>0</v>
      </c>
    </row>
    <row r="577" spans="1:32">
      <c r="A577" s="11">
        <v>33400</v>
      </c>
      <c r="B577" s="11">
        <v>22601</v>
      </c>
      <c r="C577" s="11" t="s">
        <v>427</v>
      </c>
      <c r="D577" s="7">
        <v>7200</v>
      </c>
      <c r="E577" s="7"/>
      <c r="F577" s="7">
        <f>D577-E577</f>
        <v>7200</v>
      </c>
      <c r="G577" s="7"/>
      <c r="H577" s="7">
        <f>D577+G577</f>
        <v>7200</v>
      </c>
      <c r="I577" s="1"/>
      <c r="J577" s="1">
        <f>H577-I577</f>
        <v>7200</v>
      </c>
      <c r="K577" s="1"/>
      <c r="L577" s="1">
        <f>H577+K577</f>
        <v>7200</v>
      </c>
      <c r="M577" s="7">
        <v>-89.5</v>
      </c>
      <c r="N577" s="1">
        <f>L577+M577</f>
        <v>7110.5</v>
      </c>
      <c r="O577" s="1"/>
      <c r="P577" s="3"/>
      <c r="Q577" s="1">
        <f>N577+P577</f>
        <v>7110.5</v>
      </c>
      <c r="R577" s="3"/>
      <c r="S577" s="3"/>
      <c r="T577" s="1">
        <f>Q577+S577</f>
        <v>7110.5</v>
      </c>
      <c r="U577" s="1">
        <f>R577+T577</f>
        <v>7110.5</v>
      </c>
      <c r="V577" s="1">
        <f t="shared" si="354"/>
        <v>0</v>
      </c>
      <c r="W577" s="1">
        <f t="shared" si="355"/>
        <v>7110.5</v>
      </c>
      <c r="X577" s="41">
        <v>10000</v>
      </c>
      <c r="Y577" s="41">
        <f t="shared" si="356"/>
        <v>2889.5</v>
      </c>
      <c r="Z577" s="1">
        <f t="shared" si="357"/>
        <v>10000</v>
      </c>
      <c r="AA577" s="41">
        <v>10000</v>
      </c>
      <c r="AB577" s="1">
        <f t="shared" si="351"/>
        <v>0</v>
      </c>
      <c r="AC577" s="1">
        <f t="shared" si="352"/>
        <v>10000</v>
      </c>
      <c r="AD577" s="41">
        <v>5000</v>
      </c>
      <c r="AE577" s="1">
        <f t="shared" si="314"/>
        <v>-5000</v>
      </c>
      <c r="AF577" s="1">
        <f t="shared" si="315"/>
        <v>5000</v>
      </c>
    </row>
    <row r="578" spans="1:32">
      <c r="A578" s="11">
        <v>33700</v>
      </c>
      <c r="B578" s="11">
        <v>22601</v>
      </c>
      <c r="C578" s="39" t="s">
        <v>917</v>
      </c>
      <c r="D578" s="7"/>
      <c r="E578" s="7"/>
      <c r="F578" s="7"/>
      <c r="G578" s="7"/>
      <c r="H578" s="7"/>
      <c r="I578" s="1"/>
      <c r="J578" s="1"/>
      <c r="K578" s="1"/>
      <c r="L578" s="1"/>
      <c r="N578" s="1"/>
      <c r="O578" s="1"/>
      <c r="T578" s="1"/>
      <c r="V578" s="1"/>
      <c r="W578" s="1"/>
      <c r="Y578" s="41"/>
      <c r="Z578" s="1"/>
      <c r="AB578" s="1"/>
      <c r="AC578" s="1">
        <v>0</v>
      </c>
      <c r="AD578" s="41">
        <v>1800</v>
      </c>
      <c r="AE578" s="1">
        <f t="shared" si="314"/>
        <v>1800</v>
      </c>
      <c r="AF578" s="1">
        <f t="shared" si="315"/>
        <v>1800</v>
      </c>
    </row>
    <row r="579" spans="1:32">
      <c r="A579" s="11">
        <v>34000</v>
      </c>
      <c r="B579" s="11">
        <v>22601</v>
      </c>
      <c r="C579" s="11" t="s">
        <v>656</v>
      </c>
      <c r="D579" s="7">
        <v>10080</v>
      </c>
      <c r="E579" s="7"/>
      <c r="F579" s="7">
        <f>D579-E579</f>
        <v>10080</v>
      </c>
      <c r="G579" s="7">
        <v>-5080</v>
      </c>
      <c r="H579" s="7">
        <f>D579+G579</f>
        <v>5000</v>
      </c>
      <c r="I579" s="1"/>
      <c r="J579" s="1">
        <f>H579-I579</f>
        <v>5000</v>
      </c>
      <c r="K579" s="1"/>
      <c r="L579" s="1">
        <f>H579+K579</f>
        <v>5000</v>
      </c>
      <c r="N579" s="1">
        <f t="shared" ref="N579:N591" si="358">L579+M579</f>
        <v>5000</v>
      </c>
      <c r="O579" s="1"/>
      <c r="Q579" s="1">
        <f t="shared" ref="Q579:Q591" si="359">N579+P579</f>
        <v>5000</v>
      </c>
      <c r="T579" s="1">
        <f t="shared" ref="T579:T590" si="360">Q579+S579</f>
        <v>5000</v>
      </c>
      <c r="U579" s="1">
        <f t="shared" ref="U579:U590" si="361">R579+T579</f>
        <v>5000</v>
      </c>
      <c r="V579" s="1">
        <f t="shared" ref="V579:V591" si="362">U579-T579</f>
        <v>0</v>
      </c>
      <c r="W579" s="1">
        <f t="shared" ref="W579:W591" si="363">T579+V579</f>
        <v>5000</v>
      </c>
      <c r="X579" s="1">
        <v>5000</v>
      </c>
      <c r="Y579" s="41">
        <f t="shared" ref="Y579:Y591" si="364">X579-W579</f>
        <v>0</v>
      </c>
      <c r="Z579" s="1">
        <f t="shared" ref="Z579:Z591" si="365">W579+Y579</f>
        <v>5000</v>
      </c>
      <c r="AA579" s="1">
        <v>1000</v>
      </c>
      <c r="AB579" s="1">
        <f t="shared" ref="AB579:AB586" si="366">AA579-Z579</f>
        <v>-4000</v>
      </c>
      <c r="AC579" s="1">
        <f t="shared" ref="AC579:AC591" si="367">Z579+AB579</f>
        <v>1000</v>
      </c>
      <c r="AD579" s="41">
        <v>500</v>
      </c>
      <c r="AE579" s="1">
        <f t="shared" si="314"/>
        <v>-500</v>
      </c>
      <c r="AF579" s="1">
        <f t="shared" si="315"/>
        <v>500</v>
      </c>
    </row>
    <row r="580" spans="1:32">
      <c r="A580" s="13">
        <v>43200</v>
      </c>
      <c r="B580" s="11">
        <v>22601</v>
      </c>
      <c r="C580" s="11" t="s">
        <v>521</v>
      </c>
      <c r="D580" s="7">
        <v>14712.78</v>
      </c>
      <c r="E580" s="7"/>
      <c r="F580" s="7">
        <f>D580-E580</f>
        <v>14712.78</v>
      </c>
      <c r="G580" s="7">
        <v>-4712.78</v>
      </c>
      <c r="H580" s="7">
        <f>D580+G580</f>
        <v>10000</v>
      </c>
      <c r="I580" s="1"/>
      <c r="J580" s="1">
        <f>H580-I580</f>
        <v>10000</v>
      </c>
      <c r="K580" s="1"/>
      <c r="L580" s="1">
        <f>H580+K580</f>
        <v>10000</v>
      </c>
      <c r="N580" s="1">
        <f t="shared" si="358"/>
        <v>10000</v>
      </c>
      <c r="O580" s="1"/>
      <c r="Q580" s="1">
        <f t="shared" si="359"/>
        <v>10000</v>
      </c>
      <c r="T580" s="1">
        <f t="shared" si="360"/>
        <v>10000</v>
      </c>
      <c r="U580" s="1">
        <f t="shared" si="361"/>
        <v>10000</v>
      </c>
      <c r="V580" s="1">
        <f t="shared" si="362"/>
        <v>0</v>
      </c>
      <c r="W580" s="1">
        <f t="shared" si="363"/>
        <v>10000</v>
      </c>
      <c r="X580" s="1">
        <v>10000</v>
      </c>
      <c r="Y580" s="41">
        <f t="shared" si="364"/>
        <v>0</v>
      </c>
      <c r="Z580" s="1">
        <f t="shared" si="365"/>
        <v>10000</v>
      </c>
      <c r="AA580" s="41">
        <v>10000</v>
      </c>
      <c r="AB580" s="41">
        <f t="shared" si="366"/>
        <v>0</v>
      </c>
      <c r="AC580" s="1">
        <f t="shared" si="367"/>
        <v>10000</v>
      </c>
      <c r="AD580" s="41">
        <v>10000</v>
      </c>
      <c r="AE580" s="1">
        <f t="shared" si="314"/>
        <v>0</v>
      </c>
      <c r="AF580" s="1">
        <f t="shared" si="315"/>
        <v>10000</v>
      </c>
    </row>
    <row r="581" spans="1:32">
      <c r="A581" s="11">
        <v>91200</v>
      </c>
      <c r="B581" s="11">
        <v>22601</v>
      </c>
      <c r="C581" s="11" t="s">
        <v>705</v>
      </c>
      <c r="D581" s="7">
        <v>76555.19</v>
      </c>
      <c r="E581" s="7"/>
      <c r="F581" s="7">
        <f>D581-E581</f>
        <v>76555.19</v>
      </c>
      <c r="G581" s="7">
        <f>-6555.19-200</f>
        <v>-6755.19</v>
      </c>
      <c r="H581" s="7">
        <f>D581+G581</f>
        <v>69800</v>
      </c>
      <c r="I581" s="1"/>
      <c r="J581" s="1">
        <f>H581-I581</f>
        <v>69800</v>
      </c>
      <c r="K581" s="1"/>
      <c r="L581" s="1">
        <f>H581+K581</f>
        <v>69800</v>
      </c>
      <c r="M581" s="8"/>
      <c r="N581" s="1">
        <f t="shared" si="358"/>
        <v>69800</v>
      </c>
      <c r="O581" s="1"/>
      <c r="Q581" s="1">
        <f t="shared" si="359"/>
        <v>69800</v>
      </c>
      <c r="T581" s="1">
        <f t="shared" si="360"/>
        <v>69800</v>
      </c>
      <c r="U581" s="1">
        <f t="shared" si="361"/>
        <v>69800</v>
      </c>
      <c r="V581" s="1">
        <f t="shared" si="362"/>
        <v>0</v>
      </c>
      <c r="W581" s="1">
        <f t="shared" si="363"/>
        <v>69800</v>
      </c>
      <c r="X581" s="1">
        <v>40000</v>
      </c>
      <c r="Y581" s="41">
        <f t="shared" si="364"/>
        <v>-29800</v>
      </c>
      <c r="Z581" s="1">
        <f t="shared" si="365"/>
        <v>40000</v>
      </c>
      <c r="AA581" s="41">
        <v>40000</v>
      </c>
      <c r="AB581" s="1">
        <f t="shared" si="366"/>
        <v>0</v>
      </c>
      <c r="AC581" s="1">
        <f t="shared" si="367"/>
        <v>40000</v>
      </c>
      <c r="AD581" s="41">
        <v>30000</v>
      </c>
      <c r="AE581" s="1">
        <f t="shared" si="314"/>
        <v>-10000</v>
      </c>
      <c r="AF581" s="1">
        <f t="shared" si="315"/>
        <v>30000</v>
      </c>
    </row>
    <row r="582" spans="1:32">
      <c r="A582" s="13">
        <v>17000</v>
      </c>
      <c r="B582" s="11">
        <v>22602</v>
      </c>
      <c r="C582" s="11" t="s">
        <v>282</v>
      </c>
      <c r="D582" s="7">
        <v>8030.36</v>
      </c>
      <c r="E582" s="7"/>
      <c r="F582" s="7">
        <f>D582-E582</f>
        <v>8030.36</v>
      </c>
      <c r="G582" s="7"/>
      <c r="H582" s="7">
        <f>D582+G582</f>
        <v>8030.36</v>
      </c>
      <c r="I582" s="1"/>
      <c r="J582" s="1">
        <f>H582-I582</f>
        <v>8030.36</v>
      </c>
      <c r="K582" s="1"/>
      <c r="L582" s="1">
        <f>H582+K582</f>
        <v>8030.36</v>
      </c>
      <c r="M582" s="7">
        <f>7500-L582</f>
        <v>-530.35999999999967</v>
      </c>
      <c r="N582" s="1">
        <f t="shared" si="358"/>
        <v>7500</v>
      </c>
      <c r="O582" s="1"/>
      <c r="Q582" s="1">
        <f t="shared" si="359"/>
        <v>7500</v>
      </c>
      <c r="T582" s="1">
        <f t="shared" si="360"/>
        <v>7500</v>
      </c>
      <c r="U582" s="1">
        <f t="shared" si="361"/>
        <v>7500</v>
      </c>
      <c r="V582" s="1">
        <f t="shared" si="362"/>
        <v>0</v>
      </c>
      <c r="W582" s="1">
        <f t="shared" si="363"/>
        <v>7500</v>
      </c>
      <c r="X582" s="1">
        <v>7500</v>
      </c>
      <c r="Y582" s="41">
        <f t="shared" si="364"/>
        <v>0</v>
      </c>
      <c r="Z582" s="1">
        <f t="shared" si="365"/>
        <v>7500</v>
      </c>
      <c r="AA582" s="1">
        <v>1000</v>
      </c>
      <c r="AB582" s="1">
        <f t="shared" si="366"/>
        <v>-6500</v>
      </c>
      <c r="AC582" s="1">
        <f t="shared" si="367"/>
        <v>1000</v>
      </c>
      <c r="AD582" s="41">
        <v>1500</v>
      </c>
      <c r="AE582" s="1">
        <f t="shared" ref="AE582:AE645" si="368">AD582-AC582</f>
        <v>500</v>
      </c>
      <c r="AF582" s="1">
        <f t="shared" ref="AF582:AF645" si="369">AC582+AE582</f>
        <v>1500</v>
      </c>
    </row>
    <row r="583" spans="1:32">
      <c r="A583" s="13">
        <v>23110</v>
      </c>
      <c r="B583" s="11">
        <v>22602</v>
      </c>
      <c r="C583" s="11" t="s">
        <v>327</v>
      </c>
      <c r="D583" s="8"/>
      <c r="E583" s="8"/>
      <c r="F583" s="8"/>
      <c r="G583" s="8"/>
      <c r="H583" s="8"/>
      <c r="I583" s="8"/>
      <c r="J583" s="8"/>
      <c r="K583" s="8"/>
      <c r="L583" s="10">
        <v>10000</v>
      </c>
      <c r="M583" s="10">
        <v>0</v>
      </c>
      <c r="N583" s="7">
        <f t="shared" si="358"/>
        <v>10000</v>
      </c>
      <c r="O583" s="7"/>
      <c r="P583" s="16"/>
      <c r="Q583" s="1">
        <f t="shared" si="359"/>
        <v>10000</v>
      </c>
      <c r="R583" s="3">
        <v>0</v>
      </c>
      <c r="S583" s="16"/>
      <c r="T583" s="1">
        <f t="shared" si="360"/>
        <v>10000</v>
      </c>
      <c r="U583" s="1">
        <f t="shared" si="361"/>
        <v>10000</v>
      </c>
      <c r="V583" s="1">
        <f t="shared" si="362"/>
        <v>0</v>
      </c>
      <c r="W583" s="1">
        <f t="shared" si="363"/>
        <v>10000</v>
      </c>
      <c r="X583" s="41">
        <v>0</v>
      </c>
      <c r="Y583" s="41">
        <f t="shared" si="364"/>
        <v>-10000</v>
      </c>
      <c r="Z583" s="1">
        <f t="shared" si="365"/>
        <v>0</v>
      </c>
      <c r="AA583" s="41">
        <v>0</v>
      </c>
      <c r="AB583" s="41">
        <f t="shared" si="366"/>
        <v>0</v>
      </c>
      <c r="AC583" s="1">
        <f t="shared" si="367"/>
        <v>0</v>
      </c>
      <c r="AD583" s="41">
        <v>0</v>
      </c>
      <c r="AE583" s="1">
        <f t="shared" si="368"/>
        <v>0</v>
      </c>
      <c r="AF583" s="1">
        <f t="shared" si="369"/>
        <v>0</v>
      </c>
    </row>
    <row r="584" spans="1:32">
      <c r="A584" s="13">
        <v>23111</v>
      </c>
      <c r="B584" s="11">
        <v>22602</v>
      </c>
      <c r="C584" s="11" t="s">
        <v>87</v>
      </c>
      <c r="D584" s="7">
        <v>8500</v>
      </c>
      <c r="E584" s="7">
        <v>11500</v>
      </c>
      <c r="F584" s="7">
        <f t="shared" ref="F584:F591" si="370">D584-E584</f>
        <v>-3000</v>
      </c>
      <c r="G584" s="7">
        <v>3000</v>
      </c>
      <c r="H584" s="7">
        <f t="shared" ref="H584:H591" si="371">D584+G584</f>
        <v>11500</v>
      </c>
      <c r="I584" s="7">
        <v>11000</v>
      </c>
      <c r="J584" s="7">
        <f t="shared" ref="J584:J591" si="372">H584-I584</f>
        <v>500</v>
      </c>
      <c r="K584" s="7">
        <v>-1500</v>
      </c>
      <c r="L584" s="7">
        <v>10000</v>
      </c>
      <c r="M584" s="10">
        <v>-2500</v>
      </c>
      <c r="N584" s="7">
        <f t="shared" si="358"/>
        <v>7500</v>
      </c>
      <c r="O584" s="7"/>
      <c r="P584" s="7"/>
      <c r="Q584" s="1">
        <f t="shared" si="359"/>
        <v>7500</v>
      </c>
      <c r="S584" s="7"/>
      <c r="T584" s="1">
        <f t="shared" si="360"/>
        <v>7500</v>
      </c>
      <c r="U584" s="1">
        <f t="shared" si="361"/>
        <v>7500</v>
      </c>
      <c r="V584" s="1">
        <f t="shared" si="362"/>
        <v>0</v>
      </c>
      <c r="W584" s="1">
        <f t="shared" si="363"/>
        <v>7500</v>
      </c>
      <c r="X584" s="1">
        <v>6500</v>
      </c>
      <c r="Y584" s="41">
        <f t="shared" si="364"/>
        <v>-1000</v>
      </c>
      <c r="Z584" s="1">
        <f t="shared" si="365"/>
        <v>6500</v>
      </c>
      <c r="AA584" s="1">
        <v>6500</v>
      </c>
      <c r="AB584" s="41">
        <f t="shared" si="366"/>
        <v>0</v>
      </c>
      <c r="AC584" s="1">
        <f t="shared" si="367"/>
        <v>6500</v>
      </c>
      <c r="AD584" s="41">
        <v>6500</v>
      </c>
      <c r="AE584" s="1">
        <f t="shared" si="368"/>
        <v>0</v>
      </c>
      <c r="AF584" s="1">
        <f t="shared" si="369"/>
        <v>6500</v>
      </c>
    </row>
    <row r="585" spans="1:32">
      <c r="A585" s="11">
        <v>23112</v>
      </c>
      <c r="B585" s="11">
        <v>22602</v>
      </c>
      <c r="C585" s="11" t="s">
        <v>282</v>
      </c>
      <c r="D585" s="7">
        <v>4800</v>
      </c>
      <c r="E585" s="7"/>
      <c r="F585" s="7">
        <f t="shared" si="370"/>
        <v>4800</v>
      </c>
      <c r="G585" s="7"/>
      <c r="H585" s="7">
        <f t="shared" si="371"/>
        <v>4800</v>
      </c>
      <c r="I585" s="1"/>
      <c r="J585" s="1">
        <f t="shared" si="372"/>
        <v>4800</v>
      </c>
      <c r="K585" s="1"/>
      <c r="L585" s="1">
        <f t="shared" ref="L585:L591" si="373">H585+K585</f>
        <v>4800</v>
      </c>
      <c r="N585" s="1">
        <f t="shared" si="358"/>
        <v>4800</v>
      </c>
      <c r="O585" s="1"/>
      <c r="Q585" s="1">
        <f t="shared" si="359"/>
        <v>4800</v>
      </c>
      <c r="T585" s="1">
        <f t="shared" si="360"/>
        <v>4800</v>
      </c>
      <c r="U585" s="1">
        <f t="shared" si="361"/>
        <v>4800</v>
      </c>
      <c r="V585" s="1">
        <f t="shared" si="362"/>
        <v>0</v>
      </c>
      <c r="W585" s="1">
        <f t="shared" si="363"/>
        <v>4800</v>
      </c>
      <c r="X585" s="1">
        <v>0</v>
      </c>
      <c r="Y585" s="41">
        <f t="shared" si="364"/>
        <v>-4800</v>
      </c>
      <c r="Z585" s="1">
        <f t="shared" si="365"/>
        <v>0</v>
      </c>
      <c r="AA585" s="1">
        <v>0</v>
      </c>
      <c r="AB585" s="1">
        <f t="shared" si="366"/>
        <v>0</v>
      </c>
      <c r="AC585" s="1">
        <f t="shared" si="367"/>
        <v>0</v>
      </c>
      <c r="AD585" s="41">
        <v>0</v>
      </c>
      <c r="AE585" s="1">
        <f t="shared" si="368"/>
        <v>0</v>
      </c>
      <c r="AF585" s="1">
        <f t="shared" si="369"/>
        <v>0</v>
      </c>
    </row>
    <row r="586" spans="1:32">
      <c r="A586" s="11">
        <v>32000</v>
      </c>
      <c r="B586" s="11">
        <v>22602</v>
      </c>
      <c r="C586" s="11" t="s">
        <v>370</v>
      </c>
      <c r="D586" s="7">
        <v>6000</v>
      </c>
      <c r="E586" s="7"/>
      <c r="F586" s="7">
        <f t="shared" si="370"/>
        <v>6000</v>
      </c>
      <c r="G586" s="7">
        <v>-1000</v>
      </c>
      <c r="H586" s="7">
        <f t="shared" si="371"/>
        <v>5000</v>
      </c>
      <c r="I586" s="1"/>
      <c r="J586" s="1">
        <f t="shared" si="372"/>
        <v>5000</v>
      </c>
      <c r="K586" s="1"/>
      <c r="L586" s="1">
        <f t="shared" si="373"/>
        <v>5000</v>
      </c>
      <c r="N586" s="1">
        <f t="shared" si="358"/>
        <v>5000</v>
      </c>
      <c r="O586" s="1"/>
      <c r="P586" s="16"/>
      <c r="Q586" s="1">
        <f t="shared" si="359"/>
        <v>5000</v>
      </c>
      <c r="R586" s="3"/>
      <c r="S586" s="16"/>
      <c r="T586" s="1">
        <f t="shared" si="360"/>
        <v>5000</v>
      </c>
      <c r="U586" s="1">
        <f t="shared" si="361"/>
        <v>5000</v>
      </c>
      <c r="V586" s="1">
        <f t="shared" si="362"/>
        <v>0</v>
      </c>
      <c r="W586" s="1">
        <f t="shared" si="363"/>
        <v>5000</v>
      </c>
      <c r="X586" s="41">
        <v>0</v>
      </c>
      <c r="Y586" s="41">
        <f t="shared" si="364"/>
        <v>-5000</v>
      </c>
      <c r="Z586" s="1">
        <f t="shared" si="365"/>
        <v>0</v>
      </c>
      <c r="AA586" s="41">
        <v>0</v>
      </c>
      <c r="AB586" s="41">
        <f t="shared" si="366"/>
        <v>0</v>
      </c>
      <c r="AC586" s="1">
        <f t="shared" si="367"/>
        <v>0</v>
      </c>
      <c r="AD586" s="41">
        <v>0</v>
      </c>
      <c r="AE586" s="1">
        <f t="shared" si="368"/>
        <v>0</v>
      </c>
      <c r="AF586" s="1">
        <f t="shared" si="369"/>
        <v>0</v>
      </c>
    </row>
    <row r="587" spans="1:32">
      <c r="A587" s="11">
        <v>33400</v>
      </c>
      <c r="B587" s="11">
        <v>22602</v>
      </c>
      <c r="C587" s="11" t="s">
        <v>428</v>
      </c>
      <c r="D587" s="7">
        <v>60000</v>
      </c>
      <c r="E587" s="7"/>
      <c r="F587" s="7">
        <f t="shared" si="370"/>
        <v>60000</v>
      </c>
      <c r="G587" s="7">
        <v>-5000</v>
      </c>
      <c r="H587" s="7">
        <f t="shared" si="371"/>
        <v>55000</v>
      </c>
      <c r="I587" s="1"/>
      <c r="J587" s="1">
        <f t="shared" si="372"/>
        <v>55000</v>
      </c>
      <c r="K587" s="1"/>
      <c r="L587" s="1">
        <f t="shared" si="373"/>
        <v>55000</v>
      </c>
      <c r="M587" s="7">
        <v>-25000</v>
      </c>
      <c r="N587" s="1">
        <f t="shared" si="358"/>
        <v>30000</v>
      </c>
      <c r="O587" s="1"/>
      <c r="Q587" s="1">
        <f t="shared" si="359"/>
        <v>30000</v>
      </c>
      <c r="T587" s="1">
        <f t="shared" si="360"/>
        <v>30000</v>
      </c>
      <c r="U587" s="1">
        <f t="shared" si="361"/>
        <v>30000</v>
      </c>
      <c r="V587" s="1">
        <f t="shared" si="362"/>
        <v>0</v>
      </c>
      <c r="W587" s="1">
        <f t="shared" si="363"/>
        <v>30000</v>
      </c>
      <c r="X587" s="41">
        <v>10000</v>
      </c>
      <c r="Y587" s="41">
        <f t="shared" si="364"/>
        <v>-20000</v>
      </c>
      <c r="Z587" s="1">
        <f t="shared" si="365"/>
        <v>10000</v>
      </c>
      <c r="AA587" s="1">
        <v>15000</v>
      </c>
      <c r="AB587" s="1">
        <f>AA587-Z587-4963.28</f>
        <v>36.720000000000255</v>
      </c>
      <c r="AC587" s="1">
        <f t="shared" si="367"/>
        <v>10036.720000000001</v>
      </c>
      <c r="AD587" s="41">
        <v>15000</v>
      </c>
      <c r="AE587" s="1">
        <f t="shared" si="368"/>
        <v>4963.2799999999988</v>
      </c>
      <c r="AF587" s="1">
        <f t="shared" si="369"/>
        <v>15000</v>
      </c>
    </row>
    <row r="588" spans="1:32">
      <c r="A588" s="11">
        <v>33600</v>
      </c>
      <c r="B588" s="11">
        <v>22602</v>
      </c>
      <c r="C588" s="11" t="s">
        <v>466</v>
      </c>
      <c r="D588" s="7">
        <v>4808.1000000000004</v>
      </c>
      <c r="E588" s="7"/>
      <c r="F588" s="7">
        <f t="shared" si="370"/>
        <v>4808.1000000000004</v>
      </c>
      <c r="G588" s="7">
        <v>-1808.1</v>
      </c>
      <c r="H588" s="7">
        <f t="shared" si="371"/>
        <v>3000.0000000000005</v>
      </c>
      <c r="I588" s="1"/>
      <c r="J588" s="1">
        <f t="shared" si="372"/>
        <v>3000.0000000000005</v>
      </c>
      <c r="K588" s="1"/>
      <c r="L588" s="1">
        <f t="shared" si="373"/>
        <v>3000.0000000000005</v>
      </c>
      <c r="M588" s="7">
        <v>-500</v>
      </c>
      <c r="N588" s="1">
        <f t="shared" si="358"/>
        <v>2500.0000000000005</v>
      </c>
      <c r="O588" s="1"/>
      <c r="P588" s="1">
        <v>1000</v>
      </c>
      <c r="Q588" s="1">
        <f t="shared" si="359"/>
        <v>3500.0000000000005</v>
      </c>
      <c r="T588" s="1">
        <f t="shared" si="360"/>
        <v>3500.0000000000005</v>
      </c>
      <c r="U588" s="1">
        <f t="shared" si="361"/>
        <v>3500.0000000000005</v>
      </c>
      <c r="V588" s="1">
        <f t="shared" si="362"/>
        <v>0</v>
      </c>
      <c r="W588" s="1">
        <f t="shared" si="363"/>
        <v>3500.0000000000005</v>
      </c>
      <c r="X588" s="41">
        <v>0</v>
      </c>
      <c r="Y588" s="41">
        <f t="shared" si="364"/>
        <v>-3500.0000000000005</v>
      </c>
      <c r="Z588" s="1">
        <f t="shared" si="365"/>
        <v>0</v>
      </c>
      <c r="AA588" s="1">
        <v>0</v>
      </c>
      <c r="AB588" s="1">
        <f>AA588-Z588</f>
        <v>0</v>
      </c>
      <c r="AC588" s="1">
        <f t="shared" si="367"/>
        <v>0</v>
      </c>
      <c r="AD588" s="41">
        <v>0</v>
      </c>
      <c r="AE588" s="1">
        <f t="shared" si="368"/>
        <v>0</v>
      </c>
      <c r="AF588" s="1">
        <f t="shared" si="369"/>
        <v>0</v>
      </c>
    </row>
    <row r="589" spans="1:32">
      <c r="A589" s="11">
        <v>33700</v>
      </c>
      <c r="B589" s="11">
        <v>22602</v>
      </c>
      <c r="C589" s="11" t="s">
        <v>282</v>
      </c>
      <c r="D589" s="7">
        <v>15000</v>
      </c>
      <c r="E589" s="7"/>
      <c r="F589" s="7">
        <f t="shared" si="370"/>
        <v>15000</v>
      </c>
      <c r="G589" s="7"/>
      <c r="H589" s="7">
        <f t="shared" si="371"/>
        <v>15000</v>
      </c>
      <c r="I589" s="1"/>
      <c r="J589" s="1">
        <f t="shared" si="372"/>
        <v>15000</v>
      </c>
      <c r="K589" s="1"/>
      <c r="L589" s="1">
        <f t="shared" si="373"/>
        <v>15000</v>
      </c>
      <c r="M589" s="7">
        <v>-7000</v>
      </c>
      <c r="N589" s="1">
        <f t="shared" si="358"/>
        <v>8000</v>
      </c>
      <c r="O589" s="1"/>
      <c r="Q589" s="1">
        <f t="shared" si="359"/>
        <v>8000</v>
      </c>
      <c r="S589" s="1">
        <v>5000</v>
      </c>
      <c r="T589" s="1">
        <f t="shared" si="360"/>
        <v>13000</v>
      </c>
      <c r="U589" s="1">
        <f t="shared" si="361"/>
        <v>13000</v>
      </c>
      <c r="V589" s="1">
        <f t="shared" si="362"/>
        <v>0</v>
      </c>
      <c r="W589" s="1">
        <f t="shared" si="363"/>
        <v>13000</v>
      </c>
      <c r="X589" s="41">
        <v>0</v>
      </c>
      <c r="Y589" s="41">
        <f t="shared" si="364"/>
        <v>-13000</v>
      </c>
      <c r="Z589" s="1">
        <f t="shared" si="365"/>
        <v>0</v>
      </c>
      <c r="AA589" s="1">
        <v>0</v>
      </c>
      <c r="AB589" s="1">
        <f>AA589-Z589</f>
        <v>0</v>
      </c>
      <c r="AC589" s="1">
        <f t="shared" si="367"/>
        <v>0</v>
      </c>
      <c r="AD589" s="41">
        <v>0</v>
      </c>
      <c r="AE589" s="1">
        <f t="shared" si="368"/>
        <v>0</v>
      </c>
      <c r="AF589" s="1">
        <f t="shared" si="369"/>
        <v>0</v>
      </c>
    </row>
    <row r="590" spans="1:32">
      <c r="A590" s="11">
        <v>34000</v>
      </c>
      <c r="B590" s="11">
        <v>22602</v>
      </c>
      <c r="C590" s="11" t="s">
        <v>448</v>
      </c>
      <c r="D590" s="7">
        <v>13825</v>
      </c>
      <c r="E590" s="7"/>
      <c r="F590" s="7">
        <f t="shared" si="370"/>
        <v>13825</v>
      </c>
      <c r="G590" s="7">
        <v>-3825</v>
      </c>
      <c r="H590" s="7">
        <f t="shared" si="371"/>
        <v>10000</v>
      </c>
      <c r="I590" s="1"/>
      <c r="J590" s="1">
        <f t="shared" si="372"/>
        <v>10000</v>
      </c>
      <c r="K590" s="1"/>
      <c r="L590" s="1">
        <f t="shared" si="373"/>
        <v>10000</v>
      </c>
      <c r="M590" s="7">
        <v>-2000</v>
      </c>
      <c r="N590" s="1">
        <f t="shared" si="358"/>
        <v>8000</v>
      </c>
      <c r="O590" s="1"/>
      <c r="P590" s="1">
        <v>2000</v>
      </c>
      <c r="Q590" s="1">
        <f t="shared" si="359"/>
        <v>10000</v>
      </c>
      <c r="T590" s="1">
        <f t="shared" si="360"/>
        <v>10000</v>
      </c>
      <c r="U590" s="1">
        <f t="shared" si="361"/>
        <v>10000</v>
      </c>
      <c r="V590" s="1">
        <f t="shared" si="362"/>
        <v>0</v>
      </c>
      <c r="W590" s="1">
        <f t="shared" si="363"/>
        <v>10000</v>
      </c>
      <c r="X590" s="41">
        <v>0</v>
      </c>
      <c r="Y590" s="41">
        <f t="shared" si="364"/>
        <v>-10000</v>
      </c>
      <c r="Z590" s="1">
        <f t="shared" si="365"/>
        <v>0</v>
      </c>
      <c r="AA590" s="1">
        <v>0</v>
      </c>
      <c r="AB590" s="1">
        <f>AA590-Z590</f>
        <v>0</v>
      </c>
      <c r="AC590" s="1">
        <f t="shared" si="367"/>
        <v>0</v>
      </c>
      <c r="AD590" s="41">
        <v>0</v>
      </c>
      <c r="AE590" s="1">
        <f t="shared" si="368"/>
        <v>0</v>
      </c>
      <c r="AF590" s="1">
        <f t="shared" si="369"/>
        <v>0</v>
      </c>
    </row>
    <row r="591" spans="1:32">
      <c r="A591" s="11">
        <v>43000</v>
      </c>
      <c r="B591" s="11">
        <v>22602</v>
      </c>
      <c r="C591" s="11" t="s">
        <v>506</v>
      </c>
      <c r="D591" s="7">
        <v>5600</v>
      </c>
      <c r="E591" s="7"/>
      <c r="F591" s="7">
        <f t="shared" si="370"/>
        <v>5600</v>
      </c>
      <c r="G591" s="7">
        <v>-1600</v>
      </c>
      <c r="H591" s="7">
        <f t="shared" si="371"/>
        <v>4000</v>
      </c>
      <c r="I591" s="1"/>
      <c r="J591" s="1">
        <f t="shared" si="372"/>
        <v>4000</v>
      </c>
      <c r="K591" s="1"/>
      <c r="L591" s="1">
        <f t="shared" si="373"/>
        <v>4000</v>
      </c>
      <c r="M591" s="8"/>
      <c r="N591" s="1">
        <f t="shared" si="358"/>
        <v>4000</v>
      </c>
      <c r="O591" s="1"/>
      <c r="Q591" s="1">
        <f t="shared" si="359"/>
        <v>4000</v>
      </c>
      <c r="T591" s="1">
        <f>Q591+S591</f>
        <v>4000</v>
      </c>
      <c r="U591" s="1">
        <v>15000</v>
      </c>
      <c r="V591" s="1">
        <f t="shared" si="362"/>
        <v>11000</v>
      </c>
      <c r="W591" s="1">
        <f t="shared" si="363"/>
        <v>15000</v>
      </c>
      <c r="X591" s="41">
        <v>0</v>
      </c>
      <c r="Y591" s="41">
        <f t="shared" si="364"/>
        <v>-15000</v>
      </c>
      <c r="Z591" s="1">
        <f t="shared" si="365"/>
        <v>0</v>
      </c>
      <c r="AA591" s="1">
        <v>0</v>
      </c>
      <c r="AB591" s="41">
        <f>AA591-Z591</f>
        <v>0</v>
      </c>
      <c r="AC591" s="1">
        <f t="shared" si="367"/>
        <v>0</v>
      </c>
      <c r="AD591" s="41">
        <v>2400</v>
      </c>
      <c r="AE591" s="1">
        <f t="shared" si="368"/>
        <v>2400</v>
      </c>
      <c r="AF591" s="1">
        <f t="shared" si="369"/>
        <v>2400</v>
      </c>
    </row>
    <row r="592" spans="1:32">
      <c r="A592" s="11">
        <v>43120</v>
      </c>
      <c r="B592" s="11">
        <v>22602</v>
      </c>
      <c r="C592" s="39" t="s">
        <v>910</v>
      </c>
      <c r="D592" s="7"/>
      <c r="E592" s="8"/>
      <c r="F592" s="7"/>
      <c r="G592" s="10"/>
      <c r="H592" s="7"/>
      <c r="I592" s="8"/>
      <c r="J592" s="7"/>
      <c r="K592" s="8"/>
      <c r="L592" s="7"/>
      <c r="M592" s="10"/>
      <c r="N592" s="7"/>
      <c r="O592" s="7"/>
      <c r="T592" s="1"/>
      <c r="V592" s="1"/>
      <c r="W592" s="1"/>
      <c r="Y592" s="41"/>
      <c r="Z592" s="1"/>
      <c r="AB592" s="41"/>
      <c r="AC592" s="1">
        <v>0</v>
      </c>
      <c r="AD592" s="41">
        <v>10000</v>
      </c>
      <c r="AE592" s="1">
        <f t="shared" si="368"/>
        <v>10000</v>
      </c>
      <c r="AF592" s="1">
        <f t="shared" si="369"/>
        <v>10000</v>
      </c>
    </row>
    <row r="593" spans="1:32">
      <c r="A593" s="13">
        <v>43200</v>
      </c>
      <c r="B593" s="11">
        <v>22602</v>
      </c>
      <c r="C593" s="11" t="s">
        <v>522</v>
      </c>
      <c r="D593" s="7">
        <v>89600</v>
      </c>
      <c r="E593" s="7">
        <v>95000</v>
      </c>
      <c r="F593" s="7">
        <f>D593-E593</f>
        <v>-5400</v>
      </c>
      <c r="G593" s="7">
        <v>5400</v>
      </c>
      <c r="H593" s="7">
        <f>D593+G593</f>
        <v>95000</v>
      </c>
      <c r="I593" s="1"/>
      <c r="J593" s="1">
        <f>H593-I593</f>
        <v>95000</v>
      </c>
      <c r="K593" s="1"/>
      <c r="L593" s="1">
        <f>H593+K593</f>
        <v>95000</v>
      </c>
      <c r="M593" s="7">
        <v>-5000</v>
      </c>
      <c r="N593" s="1">
        <f>L593+M593</f>
        <v>90000</v>
      </c>
      <c r="O593" s="1"/>
      <c r="Q593" s="1">
        <f>N593+P593</f>
        <v>90000</v>
      </c>
      <c r="T593" s="1">
        <f>Q593+S593</f>
        <v>90000</v>
      </c>
      <c r="U593" s="1">
        <f>R593+T593</f>
        <v>90000</v>
      </c>
      <c r="V593" s="1">
        <f>U593-T593</f>
        <v>0</v>
      </c>
      <c r="W593" s="1">
        <f>T593+V593</f>
        <v>90000</v>
      </c>
      <c r="X593" s="41">
        <v>20000</v>
      </c>
      <c r="Y593" s="41">
        <f>X593-W593</f>
        <v>-70000</v>
      </c>
      <c r="Z593" s="1">
        <f>W593+Y593</f>
        <v>20000</v>
      </c>
      <c r="AA593" s="41">
        <v>30000</v>
      </c>
      <c r="AB593" s="41">
        <f t="shared" ref="AB593:AB634" si="374">AA593-Z593</f>
        <v>10000</v>
      </c>
      <c r="AC593" s="1">
        <f t="shared" ref="AC593:AC634" si="375">Z593+AB593</f>
        <v>30000</v>
      </c>
      <c r="AD593" s="41">
        <v>50000</v>
      </c>
      <c r="AE593" s="1">
        <f t="shared" si="368"/>
        <v>20000</v>
      </c>
      <c r="AF593" s="1">
        <f t="shared" si="369"/>
        <v>50000</v>
      </c>
    </row>
    <row r="594" spans="1:32">
      <c r="A594" s="13">
        <v>43210</v>
      </c>
      <c r="B594" s="11">
        <v>22602</v>
      </c>
      <c r="C594" s="42" t="s">
        <v>842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3"/>
      <c r="S594" s="8"/>
      <c r="T594" s="8"/>
      <c r="U594" s="8"/>
      <c r="V594" s="8"/>
      <c r="W594" s="8"/>
      <c r="X594" s="8"/>
      <c r="Y594" s="8"/>
      <c r="Z594" s="47">
        <v>0</v>
      </c>
      <c r="AA594" s="47">
        <f>10000</f>
        <v>10000</v>
      </c>
      <c r="AB594" s="41">
        <f t="shared" si="374"/>
        <v>10000</v>
      </c>
      <c r="AC594" s="1">
        <f t="shared" si="375"/>
        <v>10000</v>
      </c>
      <c r="AD594" s="41">
        <v>15000</v>
      </c>
      <c r="AE594" s="1">
        <f t="shared" si="368"/>
        <v>5000</v>
      </c>
      <c r="AF594" s="1">
        <f t="shared" si="369"/>
        <v>15000</v>
      </c>
    </row>
    <row r="595" spans="1:32">
      <c r="A595" s="11">
        <v>91200</v>
      </c>
      <c r="B595" s="11">
        <v>22602</v>
      </c>
      <c r="C595" s="11" t="s">
        <v>704</v>
      </c>
      <c r="D595" s="7">
        <v>93759.83</v>
      </c>
      <c r="E595" s="7"/>
      <c r="F595" s="7">
        <f t="shared" ref="F595:F600" si="376">D595-E595</f>
        <v>93759.83</v>
      </c>
      <c r="G595" s="7">
        <v>-13759.83</v>
      </c>
      <c r="H595" s="7">
        <f t="shared" ref="H595:H600" si="377">D595+G595</f>
        <v>80000</v>
      </c>
      <c r="I595" s="1"/>
      <c r="J595" s="1">
        <f t="shared" ref="J595:J600" si="378">H595-I595</f>
        <v>80000</v>
      </c>
      <c r="K595" s="1"/>
      <c r="L595" s="1">
        <f>H595+K595</f>
        <v>80000</v>
      </c>
      <c r="N595" s="1">
        <f t="shared" ref="N595:N612" si="379">L595+M595</f>
        <v>80000</v>
      </c>
      <c r="O595" s="1"/>
      <c r="Q595" s="1">
        <f t="shared" ref="Q595:Q612" si="380">N595+P595</f>
        <v>80000</v>
      </c>
      <c r="T595" s="1">
        <f>Q595+S595</f>
        <v>80000</v>
      </c>
      <c r="U595" s="1">
        <f>R595+T595</f>
        <v>80000</v>
      </c>
      <c r="V595" s="1">
        <f>U595-T595</f>
        <v>0</v>
      </c>
      <c r="W595" s="1">
        <f t="shared" ref="W595:W612" si="381">T595+V595</f>
        <v>80000</v>
      </c>
      <c r="X595" s="1">
        <v>225000</v>
      </c>
      <c r="Y595" s="41">
        <f t="shared" ref="Y595:Y612" si="382">X595-W595</f>
        <v>145000</v>
      </c>
      <c r="Z595" s="1">
        <f t="shared" ref="Z595:Z612" si="383">W595+Y595</f>
        <v>225000</v>
      </c>
      <c r="AA595" s="41">
        <v>225000</v>
      </c>
      <c r="AB595" s="1">
        <f t="shared" si="374"/>
        <v>0</v>
      </c>
      <c r="AC595" s="1">
        <f t="shared" si="375"/>
        <v>225000</v>
      </c>
      <c r="AD595" s="41">
        <v>210000</v>
      </c>
      <c r="AE595" s="1">
        <f t="shared" si="368"/>
        <v>-15000</v>
      </c>
      <c r="AF595" s="1">
        <f t="shared" si="369"/>
        <v>210000</v>
      </c>
    </row>
    <row r="596" spans="1:32">
      <c r="A596" s="11">
        <v>91210</v>
      </c>
      <c r="B596" s="11">
        <v>22602</v>
      </c>
      <c r="C596" s="11" t="s">
        <v>531</v>
      </c>
      <c r="D596" s="7">
        <v>2400</v>
      </c>
      <c r="E596" s="7"/>
      <c r="F596" s="7">
        <f t="shared" si="376"/>
        <v>2400</v>
      </c>
      <c r="G596" s="7"/>
      <c r="H596" s="7">
        <f t="shared" si="377"/>
        <v>2400</v>
      </c>
      <c r="I596" s="7"/>
      <c r="J596" s="7">
        <f t="shared" si="378"/>
        <v>2400</v>
      </c>
      <c r="K596" s="7"/>
      <c r="L596" s="7">
        <v>2400</v>
      </c>
      <c r="M596" s="7">
        <f>1500-L596</f>
        <v>-900</v>
      </c>
      <c r="N596" s="7">
        <f t="shared" si="379"/>
        <v>1500</v>
      </c>
      <c r="O596" s="7"/>
      <c r="Q596" s="1">
        <f t="shared" si="380"/>
        <v>1500</v>
      </c>
      <c r="T596" s="1">
        <f>Q596+S596</f>
        <v>1500</v>
      </c>
      <c r="U596" s="1">
        <f>R596+T596</f>
        <v>1500</v>
      </c>
      <c r="V596" s="1">
        <f>U596-T596</f>
        <v>0</v>
      </c>
      <c r="W596" s="1">
        <f t="shared" si="381"/>
        <v>1500</v>
      </c>
      <c r="X596" s="1">
        <v>0</v>
      </c>
      <c r="Y596" s="41">
        <f t="shared" si="382"/>
        <v>-1500</v>
      </c>
      <c r="Z596" s="1">
        <f t="shared" si="383"/>
        <v>0</v>
      </c>
      <c r="AA596" s="1">
        <v>0</v>
      </c>
      <c r="AB596" s="1">
        <f t="shared" si="374"/>
        <v>0</v>
      </c>
      <c r="AC596" s="1">
        <f t="shared" si="375"/>
        <v>0</v>
      </c>
      <c r="AD596" s="41">
        <v>0</v>
      </c>
      <c r="AE596" s="1">
        <f t="shared" si="368"/>
        <v>0</v>
      </c>
      <c r="AF596" s="1">
        <f t="shared" si="369"/>
        <v>0</v>
      </c>
    </row>
    <row r="597" spans="1:32">
      <c r="A597" s="11">
        <v>92900</v>
      </c>
      <c r="B597" s="11">
        <v>22602</v>
      </c>
      <c r="C597" s="11" t="s">
        <v>486</v>
      </c>
      <c r="D597" s="7">
        <v>20000</v>
      </c>
      <c r="E597" s="7"/>
      <c r="F597" s="7">
        <f t="shared" si="376"/>
        <v>20000</v>
      </c>
      <c r="G597" s="7">
        <v>-4500</v>
      </c>
      <c r="H597" s="7">
        <f t="shared" si="377"/>
        <v>15500</v>
      </c>
      <c r="I597" s="1"/>
      <c r="J597" s="1">
        <f t="shared" si="378"/>
        <v>15500</v>
      </c>
      <c r="K597" s="1"/>
      <c r="L597" s="1">
        <f>H597+K597</f>
        <v>15500</v>
      </c>
      <c r="N597" s="1">
        <f t="shared" si="379"/>
        <v>15500</v>
      </c>
      <c r="O597" s="1"/>
      <c r="P597" s="1">
        <v>-15500</v>
      </c>
      <c r="Q597" s="1">
        <f t="shared" si="380"/>
        <v>0</v>
      </c>
      <c r="T597" s="1">
        <f t="shared" ref="T597:U612" si="384">Q597+S597</f>
        <v>0</v>
      </c>
      <c r="U597" s="1">
        <v>2000</v>
      </c>
      <c r="V597" s="1">
        <f>U597-T597</f>
        <v>2000</v>
      </c>
      <c r="W597" s="1">
        <f t="shared" si="381"/>
        <v>2000</v>
      </c>
      <c r="X597" s="1">
        <v>4000</v>
      </c>
      <c r="Y597" s="41">
        <f t="shared" si="382"/>
        <v>2000</v>
      </c>
      <c r="Z597" s="1">
        <f t="shared" si="383"/>
        <v>4000</v>
      </c>
      <c r="AA597" s="1">
        <v>4000</v>
      </c>
      <c r="AB597" s="1">
        <f t="shared" si="374"/>
        <v>0</v>
      </c>
      <c r="AC597" s="1">
        <f t="shared" si="375"/>
        <v>4000</v>
      </c>
      <c r="AD597" s="41">
        <v>4000</v>
      </c>
      <c r="AE597" s="1">
        <f t="shared" si="368"/>
        <v>0</v>
      </c>
      <c r="AF597" s="1">
        <f t="shared" si="369"/>
        <v>4000</v>
      </c>
    </row>
    <row r="598" spans="1:32">
      <c r="A598" s="11">
        <v>92000</v>
      </c>
      <c r="B598" s="11">
        <v>22603</v>
      </c>
      <c r="C598" s="11" t="s">
        <v>83</v>
      </c>
      <c r="D598" s="7">
        <v>0</v>
      </c>
      <c r="E598" s="7"/>
      <c r="F598" s="7">
        <f t="shared" si="376"/>
        <v>0</v>
      </c>
      <c r="G598" s="7">
        <v>5000</v>
      </c>
      <c r="H598" s="7">
        <f t="shared" si="377"/>
        <v>5000</v>
      </c>
      <c r="I598" s="1"/>
      <c r="J598" s="1">
        <f t="shared" si="378"/>
        <v>5000</v>
      </c>
      <c r="K598" s="1"/>
      <c r="L598" s="1">
        <f>H598+K598</f>
        <v>5000</v>
      </c>
      <c r="N598" s="1">
        <f t="shared" si="379"/>
        <v>5000</v>
      </c>
      <c r="O598" s="1"/>
      <c r="Q598" s="1">
        <f t="shared" si="380"/>
        <v>5000</v>
      </c>
      <c r="T598" s="1">
        <f t="shared" si="384"/>
        <v>5000</v>
      </c>
      <c r="U598" s="1">
        <f>R598+T598</f>
        <v>5000</v>
      </c>
      <c r="V598" s="1">
        <f>U598-T598</f>
        <v>0</v>
      </c>
      <c r="W598" s="1">
        <f t="shared" si="381"/>
        <v>5000</v>
      </c>
      <c r="X598" s="1">
        <v>5000</v>
      </c>
      <c r="Y598" s="41">
        <f t="shared" si="382"/>
        <v>0</v>
      </c>
      <c r="Z598" s="1">
        <f t="shared" si="383"/>
        <v>5000</v>
      </c>
      <c r="AA598" s="1">
        <v>5000</v>
      </c>
      <c r="AB598" s="1">
        <f t="shared" si="374"/>
        <v>0</v>
      </c>
      <c r="AC598" s="1">
        <f t="shared" si="375"/>
        <v>5000</v>
      </c>
      <c r="AD598" s="41">
        <v>5000</v>
      </c>
      <c r="AE598" s="1">
        <f t="shared" si="368"/>
        <v>0</v>
      </c>
      <c r="AF598" s="1">
        <f t="shared" si="369"/>
        <v>5000</v>
      </c>
    </row>
    <row r="599" spans="1:32">
      <c r="A599" s="11">
        <v>92000</v>
      </c>
      <c r="B599" s="11">
        <v>22604</v>
      </c>
      <c r="C599" s="11" t="s">
        <v>255</v>
      </c>
      <c r="D599" s="7">
        <v>125121.45</v>
      </c>
      <c r="E599" s="7"/>
      <c r="F599" s="7">
        <f t="shared" si="376"/>
        <v>125121.45</v>
      </c>
      <c r="G599" s="7">
        <v>0</v>
      </c>
      <c r="H599" s="7">
        <f t="shared" si="377"/>
        <v>125121.45</v>
      </c>
      <c r="I599" s="1"/>
      <c r="J599" s="1">
        <f t="shared" si="378"/>
        <v>125121.45</v>
      </c>
      <c r="K599" s="1">
        <v>10000</v>
      </c>
      <c r="L599" s="1">
        <f>H599+K599</f>
        <v>135121.45000000001</v>
      </c>
      <c r="M599" s="7">
        <f>65000-121.45+25000</f>
        <v>89878.55</v>
      </c>
      <c r="N599" s="1">
        <f t="shared" si="379"/>
        <v>225000</v>
      </c>
      <c r="O599" s="1"/>
      <c r="Q599" s="1">
        <f t="shared" si="380"/>
        <v>225000</v>
      </c>
      <c r="R599" s="1">
        <f>48400+72600+36300+100000</f>
        <v>257300</v>
      </c>
      <c r="S599" s="1">
        <v>95000</v>
      </c>
      <c r="T599" s="1">
        <f t="shared" si="384"/>
        <v>320000</v>
      </c>
      <c r="U599" s="1">
        <v>440000</v>
      </c>
      <c r="V599" s="1">
        <v>120000</v>
      </c>
      <c r="W599" s="1">
        <f t="shared" si="381"/>
        <v>440000</v>
      </c>
      <c r="X599" s="1">
        <v>440000</v>
      </c>
      <c r="Y599" s="41">
        <f t="shared" si="382"/>
        <v>0</v>
      </c>
      <c r="Z599" s="1">
        <f t="shared" si="383"/>
        <v>440000</v>
      </c>
      <c r="AA599" s="1">
        <f>72600+48400+320000</f>
        <v>441000</v>
      </c>
      <c r="AB599" s="1">
        <f t="shared" si="374"/>
        <v>1000</v>
      </c>
      <c r="AC599" s="1">
        <f t="shared" si="375"/>
        <v>441000</v>
      </c>
      <c r="AD599" s="41">
        <v>434000</v>
      </c>
      <c r="AE599" s="1">
        <f t="shared" si="368"/>
        <v>-7000</v>
      </c>
      <c r="AF599" s="1">
        <f t="shared" si="369"/>
        <v>434000</v>
      </c>
    </row>
    <row r="600" spans="1:32">
      <c r="A600" s="13">
        <v>17000</v>
      </c>
      <c r="B600" s="11">
        <v>22606</v>
      </c>
      <c r="C600" s="42" t="s">
        <v>953</v>
      </c>
      <c r="D600" s="7">
        <v>12640.48</v>
      </c>
      <c r="E600" s="7"/>
      <c r="F600" s="7">
        <f t="shared" si="376"/>
        <v>12640.48</v>
      </c>
      <c r="G600" s="7">
        <v>-2640.48</v>
      </c>
      <c r="H600" s="7">
        <f t="shared" si="377"/>
        <v>10000</v>
      </c>
      <c r="I600" s="1"/>
      <c r="J600" s="1">
        <f t="shared" si="378"/>
        <v>10000</v>
      </c>
      <c r="K600" s="1"/>
      <c r="L600" s="1">
        <f t="shared" ref="L600" si="385">H600+K600</f>
        <v>10000</v>
      </c>
      <c r="N600" s="1">
        <f t="shared" si="379"/>
        <v>10000</v>
      </c>
      <c r="O600" s="1"/>
      <c r="P600" s="1">
        <v>15000</v>
      </c>
      <c r="Q600" s="1">
        <f t="shared" si="380"/>
        <v>25000</v>
      </c>
      <c r="T600" s="1">
        <f t="shared" si="384"/>
        <v>25000</v>
      </c>
      <c r="U600" s="1">
        <f t="shared" si="384"/>
        <v>25000</v>
      </c>
      <c r="V600" s="1">
        <f t="shared" ref="V600" si="386">U600-T600</f>
        <v>0</v>
      </c>
      <c r="W600" s="1">
        <f t="shared" si="381"/>
        <v>25000</v>
      </c>
      <c r="X600" s="1">
        <v>25000</v>
      </c>
      <c r="Y600" s="41">
        <f t="shared" si="382"/>
        <v>0</v>
      </c>
      <c r="Z600" s="1">
        <f t="shared" si="383"/>
        <v>25000</v>
      </c>
      <c r="AA600" s="1">
        <v>25000</v>
      </c>
      <c r="AB600" s="1">
        <f t="shared" si="374"/>
        <v>0</v>
      </c>
      <c r="AC600" s="1">
        <f t="shared" si="375"/>
        <v>25000</v>
      </c>
      <c r="AD600" s="41">
        <f>20000+20000</f>
        <v>40000</v>
      </c>
      <c r="AE600" s="1">
        <f t="shared" si="368"/>
        <v>15000</v>
      </c>
      <c r="AF600" s="1">
        <f t="shared" si="369"/>
        <v>40000</v>
      </c>
    </row>
    <row r="601" spans="1:32">
      <c r="A601" s="13">
        <v>23110</v>
      </c>
      <c r="B601" s="11">
        <v>22606</v>
      </c>
      <c r="C601" s="11" t="s">
        <v>328</v>
      </c>
      <c r="D601" s="8"/>
      <c r="E601" s="8"/>
      <c r="F601" s="8"/>
      <c r="G601" s="8"/>
      <c r="H601" s="8"/>
      <c r="I601" s="8"/>
      <c r="J601" s="8"/>
      <c r="K601" s="8"/>
      <c r="L601" s="10">
        <v>40000</v>
      </c>
      <c r="M601" s="10">
        <v>0</v>
      </c>
      <c r="N601" s="7">
        <f t="shared" si="379"/>
        <v>40000</v>
      </c>
      <c r="O601" s="7"/>
      <c r="P601" s="3"/>
      <c r="Q601" s="1">
        <f t="shared" si="380"/>
        <v>40000</v>
      </c>
      <c r="R601" s="3"/>
      <c r="S601" s="3"/>
      <c r="T601" s="1">
        <f t="shared" si="384"/>
        <v>40000</v>
      </c>
      <c r="U601" s="1">
        <f>R601+T601</f>
        <v>40000</v>
      </c>
      <c r="V601" s="1">
        <f t="shared" ref="V601:V612" si="387">U601-T601</f>
        <v>0</v>
      </c>
      <c r="W601" s="1">
        <f t="shared" si="381"/>
        <v>40000</v>
      </c>
      <c r="X601" s="41">
        <v>35000</v>
      </c>
      <c r="Y601" s="41">
        <f t="shared" si="382"/>
        <v>-5000</v>
      </c>
      <c r="Z601" s="1">
        <f t="shared" si="383"/>
        <v>35000</v>
      </c>
      <c r="AA601" s="41">
        <f>7000+18000+10000</f>
        <v>35000</v>
      </c>
      <c r="AB601" s="41">
        <f t="shared" si="374"/>
        <v>0</v>
      </c>
      <c r="AC601" s="1">
        <f t="shared" si="375"/>
        <v>35000</v>
      </c>
      <c r="AD601" s="41">
        <v>35000</v>
      </c>
      <c r="AE601" s="1">
        <f t="shared" si="368"/>
        <v>0</v>
      </c>
      <c r="AF601" s="1">
        <f t="shared" si="369"/>
        <v>35000</v>
      </c>
    </row>
    <row r="602" spans="1:32">
      <c r="A602" s="13">
        <v>23111</v>
      </c>
      <c r="B602" s="11">
        <v>22606</v>
      </c>
      <c r="C602" s="42" t="s">
        <v>831</v>
      </c>
      <c r="D602" s="7">
        <v>0</v>
      </c>
      <c r="E602" s="7">
        <v>6000</v>
      </c>
      <c r="F602" s="7">
        <f t="shared" ref="F602:F612" si="388">D602-E602</f>
        <v>-6000</v>
      </c>
      <c r="G602" s="7">
        <v>6000</v>
      </c>
      <c r="H602" s="7">
        <f t="shared" ref="H602:H612" si="389">D602+G602</f>
        <v>6000</v>
      </c>
      <c r="I602" s="7">
        <v>4000</v>
      </c>
      <c r="J602" s="7">
        <f t="shared" ref="J602:J612" si="390">H602-I602</f>
        <v>2000</v>
      </c>
      <c r="K602" s="7">
        <v>-2000</v>
      </c>
      <c r="L602" s="7">
        <v>4000</v>
      </c>
      <c r="M602" s="10">
        <v>4000</v>
      </c>
      <c r="N602" s="7">
        <f t="shared" si="379"/>
        <v>8000</v>
      </c>
      <c r="O602" s="7"/>
      <c r="P602" s="1">
        <v>-8000</v>
      </c>
      <c r="Q602" s="1">
        <f t="shared" si="380"/>
        <v>0</v>
      </c>
      <c r="T602" s="1">
        <f t="shared" si="384"/>
        <v>0</v>
      </c>
      <c r="U602" s="1">
        <v>4000</v>
      </c>
      <c r="V602" s="1">
        <f t="shared" si="387"/>
        <v>4000</v>
      </c>
      <c r="W602" s="1">
        <f t="shared" si="381"/>
        <v>4000</v>
      </c>
      <c r="X602" s="1">
        <v>4000</v>
      </c>
      <c r="Y602" s="41">
        <f t="shared" si="382"/>
        <v>0</v>
      </c>
      <c r="Z602" s="1">
        <f t="shared" si="383"/>
        <v>4000</v>
      </c>
      <c r="AA602" s="1">
        <f>1500+6000</f>
        <v>7500</v>
      </c>
      <c r="AB602" s="41">
        <f t="shared" si="374"/>
        <v>3500</v>
      </c>
      <c r="AC602" s="1">
        <f t="shared" si="375"/>
        <v>7500</v>
      </c>
      <c r="AD602" s="41">
        <v>7500</v>
      </c>
      <c r="AE602" s="1">
        <f t="shared" si="368"/>
        <v>0</v>
      </c>
      <c r="AF602" s="1">
        <f t="shared" si="369"/>
        <v>7500</v>
      </c>
    </row>
    <row r="603" spans="1:32">
      <c r="A603" s="11">
        <v>23112</v>
      </c>
      <c r="B603" s="11">
        <v>22606</v>
      </c>
      <c r="C603" s="42" t="s">
        <v>831</v>
      </c>
      <c r="D603" s="7">
        <v>2400</v>
      </c>
      <c r="E603" s="7"/>
      <c r="F603" s="7">
        <f t="shared" si="388"/>
        <v>2400</v>
      </c>
      <c r="G603" s="7"/>
      <c r="H603" s="7">
        <f t="shared" si="389"/>
        <v>2400</v>
      </c>
      <c r="I603" s="1"/>
      <c r="J603" s="1">
        <f t="shared" si="390"/>
        <v>2400</v>
      </c>
      <c r="K603" s="1"/>
      <c r="L603" s="1">
        <f t="shared" ref="L603:L612" si="391">H603+K603</f>
        <v>2400</v>
      </c>
      <c r="N603" s="1">
        <f t="shared" si="379"/>
        <v>2400</v>
      </c>
      <c r="O603" s="1"/>
      <c r="Q603" s="1">
        <f t="shared" si="380"/>
        <v>2400</v>
      </c>
      <c r="T603" s="1">
        <f t="shared" si="384"/>
        <v>2400</v>
      </c>
      <c r="U603" s="1">
        <f>R603+T603</f>
        <v>2400</v>
      </c>
      <c r="V603" s="1">
        <f t="shared" si="387"/>
        <v>0</v>
      </c>
      <c r="W603" s="1">
        <f t="shared" si="381"/>
        <v>2400</v>
      </c>
      <c r="X603" s="1">
        <v>5000</v>
      </c>
      <c r="Y603" s="41">
        <f t="shared" si="382"/>
        <v>2600</v>
      </c>
      <c r="Z603" s="1">
        <f t="shared" si="383"/>
        <v>5000</v>
      </c>
      <c r="AA603" s="1">
        <v>5000</v>
      </c>
      <c r="AB603" s="1">
        <f t="shared" si="374"/>
        <v>0</v>
      </c>
      <c r="AC603" s="1">
        <f t="shared" si="375"/>
        <v>5000</v>
      </c>
      <c r="AD603" s="41">
        <v>10200</v>
      </c>
      <c r="AE603" s="1">
        <f t="shared" si="368"/>
        <v>5200</v>
      </c>
      <c r="AF603" s="1">
        <f t="shared" si="369"/>
        <v>10200</v>
      </c>
    </row>
    <row r="604" spans="1:32">
      <c r="A604" s="11">
        <v>31100</v>
      </c>
      <c r="B604" s="11">
        <v>22606</v>
      </c>
      <c r="C604" s="11" t="s">
        <v>357</v>
      </c>
      <c r="D604" s="7">
        <v>1000</v>
      </c>
      <c r="E604" s="7"/>
      <c r="F604" s="7">
        <f t="shared" si="388"/>
        <v>1000</v>
      </c>
      <c r="G604" s="7"/>
      <c r="H604" s="7">
        <f t="shared" si="389"/>
        <v>1000</v>
      </c>
      <c r="I604" s="1"/>
      <c r="J604" s="1">
        <f t="shared" si="390"/>
        <v>1000</v>
      </c>
      <c r="K604" s="1"/>
      <c r="L604" s="1">
        <f t="shared" si="391"/>
        <v>1000</v>
      </c>
      <c r="N604" s="1">
        <f t="shared" si="379"/>
        <v>1000</v>
      </c>
      <c r="O604" s="1"/>
      <c r="P604" s="3"/>
      <c r="Q604" s="1">
        <f t="shared" si="380"/>
        <v>1000</v>
      </c>
      <c r="R604" s="3"/>
      <c r="S604" s="3"/>
      <c r="T604" s="1">
        <f t="shared" si="384"/>
        <v>1000</v>
      </c>
      <c r="U604" s="1">
        <f>R604+T604</f>
        <v>1000</v>
      </c>
      <c r="V604" s="1">
        <f t="shared" si="387"/>
        <v>0</v>
      </c>
      <c r="W604" s="1">
        <f t="shared" si="381"/>
        <v>1000</v>
      </c>
      <c r="X604" s="41">
        <v>1000</v>
      </c>
      <c r="Y604" s="41">
        <f t="shared" si="382"/>
        <v>0</v>
      </c>
      <c r="Z604" s="1">
        <f t="shared" si="383"/>
        <v>1000</v>
      </c>
      <c r="AA604" s="41">
        <v>1000</v>
      </c>
      <c r="AB604" s="1">
        <f t="shared" si="374"/>
        <v>0</v>
      </c>
      <c r="AC604" s="1">
        <f t="shared" si="375"/>
        <v>1000</v>
      </c>
      <c r="AD604" s="41">
        <v>1000</v>
      </c>
      <c r="AE604" s="1">
        <f t="shared" si="368"/>
        <v>0</v>
      </c>
      <c r="AF604" s="1">
        <f t="shared" si="369"/>
        <v>1000</v>
      </c>
    </row>
    <row r="605" spans="1:32">
      <c r="A605" s="11">
        <v>32000</v>
      </c>
      <c r="B605" s="11">
        <v>22606</v>
      </c>
      <c r="C605" s="11" t="s">
        <v>371</v>
      </c>
      <c r="D605" s="7">
        <v>20000</v>
      </c>
      <c r="E605" s="7"/>
      <c r="F605" s="7">
        <f t="shared" si="388"/>
        <v>20000</v>
      </c>
      <c r="G605" s="7">
        <v>-5000</v>
      </c>
      <c r="H605" s="7">
        <f t="shared" si="389"/>
        <v>15000</v>
      </c>
      <c r="I605" s="1"/>
      <c r="J605" s="1">
        <f t="shared" si="390"/>
        <v>15000</v>
      </c>
      <c r="K605" s="1"/>
      <c r="L605" s="1">
        <f t="shared" si="391"/>
        <v>15000</v>
      </c>
      <c r="N605" s="1">
        <f t="shared" si="379"/>
        <v>15000</v>
      </c>
      <c r="O605" s="1"/>
      <c r="P605" s="3"/>
      <c r="Q605" s="1">
        <f t="shared" si="380"/>
        <v>15000</v>
      </c>
      <c r="R605" s="3"/>
      <c r="S605" s="3"/>
      <c r="T605" s="1">
        <f t="shared" si="384"/>
        <v>15000</v>
      </c>
      <c r="U605" s="1">
        <f>R605+T605</f>
        <v>15000</v>
      </c>
      <c r="V605" s="1">
        <f t="shared" si="387"/>
        <v>0</v>
      </c>
      <c r="W605" s="1">
        <f t="shared" si="381"/>
        <v>15000</v>
      </c>
      <c r="X605" s="41">
        <v>10000</v>
      </c>
      <c r="Y605" s="41">
        <f t="shared" si="382"/>
        <v>-5000</v>
      </c>
      <c r="Z605" s="1">
        <f t="shared" si="383"/>
        <v>10000</v>
      </c>
      <c r="AA605" s="41">
        <v>4000</v>
      </c>
      <c r="AB605" s="41">
        <f t="shared" si="374"/>
        <v>-6000</v>
      </c>
      <c r="AC605" s="1">
        <f t="shared" si="375"/>
        <v>4000</v>
      </c>
      <c r="AD605" s="41">
        <v>4000</v>
      </c>
      <c r="AE605" s="1">
        <f t="shared" si="368"/>
        <v>0</v>
      </c>
      <c r="AF605" s="1">
        <f t="shared" si="369"/>
        <v>4000</v>
      </c>
    </row>
    <row r="606" spans="1:32">
      <c r="A606" s="11">
        <v>33220</v>
      </c>
      <c r="B606" s="11">
        <v>22606</v>
      </c>
      <c r="C606" s="11" t="s">
        <v>472</v>
      </c>
      <c r="D606" s="7">
        <v>15000</v>
      </c>
      <c r="E606" s="7"/>
      <c r="F606" s="7">
        <f t="shared" si="388"/>
        <v>15000</v>
      </c>
      <c r="G606" s="7"/>
      <c r="H606" s="7">
        <f t="shared" si="389"/>
        <v>15000</v>
      </c>
      <c r="I606" s="1"/>
      <c r="J606" s="1">
        <f t="shared" si="390"/>
        <v>15000</v>
      </c>
      <c r="K606" s="1"/>
      <c r="L606" s="1">
        <f t="shared" si="391"/>
        <v>15000</v>
      </c>
      <c r="N606" s="1">
        <f t="shared" si="379"/>
        <v>15000</v>
      </c>
      <c r="O606" s="1"/>
      <c r="Q606" s="1">
        <f t="shared" si="380"/>
        <v>15000</v>
      </c>
      <c r="T606" s="1">
        <f t="shared" si="384"/>
        <v>15000</v>
      </c>
      <c r="U606" s="1">
        <f>R606+T606</f>
        <v>15000</v>
      </c>
      <c r="V606" s="1">
        <f t="shared" si="387"/>
        <v>0</v>
      </c>
      <c r="W606" s="1">
        <f t="shared" si="381"/>
        <v>15000</v>
      </c>
      <c r="X606" s="1">
        <v>15000</v>
      </c>
      <c r="Y606" s="41">
        <f t="shared" si="382"/>
        <v>0</v>
      </c>
      <c r="Z606" s="1">
        <f t="shared" si="383"/>
        <v>15000</v>
      </c>
      <c r="AA606" s="1">
        <v>20000</v>
      </c>
      <c r="AB606" s="41">
        <f t="shared" si="374"/>
        <v>5000</v>
      </c>
      <c r="AC606" s="1">
        <f t="shared" si="375"/>
        <v>20000</v>
      </c>
      <c r="AD606" s="41">
        <v>20000</v>
      </c>
      <c r="AE606" s="1">
        <f t="shared" si="368"/>
        <v>0</v>
      </c>
      <c r="AF606" s="1">
        <f t="shared" si="369"/>
        <v>20000</v>
      </c>
    </row>
    <row r="607" spans="1:32">
      <c r="A607" s="11">
        <v>33400</v>
      </c>
      <c r="B607" s="11">
        <v>22606</v>
      </c>
      <c r="C607" s="11" t="s">
        <v>429</v>
      </c>
      <c r="D607" s="7">
        <v>400000</v>
      </c>
      <c r="E607" s="7"/>
      <c r="F607" s="7">
        <f t="shared" si="388"/>
        <v>400000</v>
      </c>
      <c r="G607" s="7">
        <f>-3844.22</f>
        <v>-3844.22</v>
      </c>
      <c r="H607" s="7">
        <f t="shared" si="389"/>
        <v>396155.78</v>
      </c>
      <c r="I607" s="1"/>
      <c r="J607" s="1">
        <f t="shared" si="390"/>
        <v>396155.78</v>
      </c>
      <c r="K607" s="1"/>
      <c r="L607" s="1">
        <f t="shared" si="391"/>
        <v>396155.78</v>
      </c>
      <c r="M607" s="7">
        <v>-46155.78</v>
      </c>
      <c r="N607" s="1">
        <f t="shared" si="379"/>
        <v>350000</v>
      </c>
      <c r="O607" s="1"/>
      <c r="P607" s="1">
        <v>-100000</v>
      </c>
      <c r="Q607" s="1">
        <f t="shared" si="380"/>
        <v>250000</v>
      </c>
      <c r="S607" s="1">
        <f>-37000-13000</f>
        <v>-50000</v>
      </c>
      <c r="T607" s="1">
        <f t="shared" si="384"/>
        <v>200000</v>
      </c>
      <c r="U607" s="1">
        <v>170000</v>
      </c>
      <c r="V607" s="1">
        <f t="shared" si="387"/>
        <v>-30000</v>
      </c>
      <c r="W607" s="1">
        <f t="shared" si="381"/>
        <v>170000</v>
      </c>
      <c r="X607" s="1">
        <v>170000</v>
      </c>
      <c r="Y607" s="41">
        <f t="shared" si="382"/>
        <v>0</v>
      </c>
      <c r="Z607" s="1">
        <f t="shared" si="383"/>
        <v>170000</v>
      </c>
      <c r="AA607" s="1">
        <v>185000</v>
      </c>
      <c r="AB607" s="1">
        <f t="shared" si="374"/>
        <v>15000</v>
      </c>
      <c r="AC607" s="1">
        <f t="shared" si="375"/>
        <v>185000</v>
      </c>
      <c r="AD607" s="41">
        <v>200000</v>
      </c>
      <c r="AE607" s="1">
        <f t="shared" si="368"/>
        <v>15000</v>
      </c>
      <c r="AF607" s="1">
        <f t="shared" si="369"/>
        <v>200000</v>
      </c>
    </row>
    <row r="608" spans="1:32">
      <c r="A608" s="11">
        <v>33600</v>
      </c>
      <c r="B608" s="11">
        <v>22606</v>
      </c>
      <c r="C608" s="11" t="s">
        <v>653</v>
      </c>
      <c r="D608" s="7">
        <v>35000</v>
      </c>
      <c r="E608" s="7"/>
      <c r="F608" s="7">
        <f t="shared" si="388"/>
        <v>35000</v>
      </c>
      <c r="G608" s="7">
        <v>-10000</v>
      </c>
      <c r="H608" s="7">
        <f t="shared" si="389"/>
        <v>25000</v>
      </c>
      <c r="I608" s="1"/>
      <c r="J608" s="1">
        <f t="shared" si="390"/>
        <v>25000</v>
      </c>
      <c r="K608" s="1"/>
      <c r="L608" s="1">
        <f t="shared" si="391"/>
        <v>25000</v>
      </c>
      <c r="M608" s="7">
        <v>-10000</v>
      </c>
      <c r="N608" s="1">
        <f t="shared" si="379"/>
        <v>15000</v>
      </c>
      <c r="O608" s="1"/>
      <c r="Q608" s="1">
        <f t="shared" si="380"/>
        <v>15000</v>
      </c>
      <c r="T608" s="1">
        <f t="shared" si="384"/>
        <v>15000</v>
      </c>
      <c r="U608" s="1">
        <f>R608+T608</f>
        <v>15000</v>
      </c>
      <c r="V608" s="1">
        <f t="shared" si="387"/>
        <v>0</v>
      </c>
      <c r="W608" s="1">
        <f t="shared" si="381"/>
        <v>15000</v>
      </c>
      <c r="X608" s="1">
        <v>8000</v>
      </c>
      <c r="Y608" s="41">
        <f t="shared" si="382"/>
        <v>-7000</v>
      </c>
      <c r="Z608" s="1">
        <f t="shared" si="383"/>
        <v>8000</v>
      </c>
      <c r="AA608" s="1">
        <v>8000</v>
      </c>
      <c r="AB608" s="1">
        <f t="shared" si="374"/>
        <v>0</v>
      </c>
      <c r="AC608" s="1">
        <f t="shared" si="375"/>
        <v>8000</v>
      </c>
      <c r="AD608" s="41">
        <v>1000</v>
      </c>
      <c r="AE608" s="1">
        <f t="shared" si="368"/>
        <v>-7000</v>
      </c>
      <c r="AF608" s="1">
        <f t="shared" si="369"/>
        <v>1000</v>
      </c>
    </row>
    <row r="609" spans="1:32">
      <c r="A609" s="11">
        <v>33700</v>
      </c>
      <c r="B609" s="11">
        <v>22606</v>
      </c>
      <c r="C609" s="11" t="s">
        <v>491</v>
      </c>
      <c r="D609" s="7">
        <v>35000</v>
      </c>
      <c r="E609" s="7"/>
      <c r="F609" s="7">
        <f t="shared" si="388"/>
        <v>35000</v>
      </c>
      <c r="G609" s="7">
        <v>-5000</v>
      </c>
      <c r="H609" s="7">
        <f t="shared" si="389"/>
        <v>30000</v>
      </c>
      <c r="I609" s="1"/>
      <c r="J609" s="1">
        <f t="shared" si="390"/>
        <v>30000</v>
      </c>
      <c r="K609" s="1"/>
      <c r="L609" s="1">
        <f t="shared" si="391"/>
        <v>30000</v>
      </c>
      <c r="N609" s="1">
        <f t="shared" si="379"/>
        <v>30000</v>
      </c>
      <c r="O609" s="1"/>
      <c r="Q609" s="1">
        <f t="shared" si="380"/>
        <v>30000</v>
      </c>
      <c r="S609" s="1">
        <v>25000</v>
      </c>
      <c r="T609" s="1">
        <f t="shared" si="384"/>
        <v>55000</v>
      </c>
      <c r="U609" s="1">
        <f t="shared" si="384"/>
        <v>55000</v>
      </c>
      <c r="V609" s="1">
        <f t="shared" si="387"/>
        <v>0</v>
      </c>
      <c r="W609" s="1">
        <f t="shared" si="381"/>
        <v>55000</v>
      </c>
      <c r="X609" s="1">
        <v>28500</v>
      </c>
      <c r="Y609" s="41">
        <f t="shared" si="382"/>
        <v>-26500</v>
      </c>
      <c r="Z609" s="1">
        <f t="shared" si="383"/>
        <v>28500</v>
      </c>
      <c r="AA609" s="1">
        <v>29800</v>
      </c>
      <c r="AB609" s="1">
        <f t="shared" si="374"/>
        <v>1300</v>
      </c>
      <c r="AC609" s="1">
        <f t="shared" si="375"/>
        <v>29800</v>
      </c>
      <c r="AD609" s="41">
        <f>38150-206.69</f>
        <v>37943.31</v>
      </c>
      <c r="AE609" s="1">
        <f t="shared" si="368"/>
        <v>8143.3099999999977</v>
      </c>
      <c r="AF609" s="1">
        <f t="shared" si="369"/>
        <v>37943.31</v>
      </c>
    </row>
    <row r="610" spans="1:32">
      <c r="A610" s="11">
        <v>34000</v>
      </c>
      <c r="B610" s="11">
        <v>22606</v>
      </c>
      <c r="C610" s="11" t="s">
        <v>449</v>
      </c>
      <c r="D610" s="7">
        <v>84979</v>
      </c>
      <c r="E610" s="7"/>
      <c r="F610" s="7">
        <f t="shared" si="388"/>
        <v>84979</v>
      </c>
      <c r="G610" s="7">
        <v>-14979</v>
      </c>
      <c r="H610" s="7">
        <f t="shared" si="389"/>
        <v>70000</v>
      </c>
      <c r="I610" s="1"/>
      <c r="J610" s="1">
        <f t="shared" si="390"/>
        <v>70000</v>
      </c>
      <c r="K610" s="1"/>
      <c r="L610" s="1">
        <f t="shared" si="391"/>
        <v>70000</v>
      </c>
      <c r="N610" s="1">
        <f t="shared" si="379"/>
        <v>70000</v>
      </c>
      <c r="O610" s="1"/>
      <c r="Q610" s="1">
        <f t="shared" si="380"/>
        <v>70000</v>
      </c>
      <c r="T610" s="1">
        <f t="shared" si="384"/>
        <v>70000</v>
      </c>
      <c r="U610" s="1">
        <f>R610+T610</f>
        <v>70000</v>
      </c>
      <c r="V610" s="1">
        <f t="shared" si="387"/>
        <v>0</v>
      </c>
      <c r="W610" s="1">
        <f t="shared" si="381"/>
        <v>70000</v>
      </c>
      <c r="X610" s="1">
        <v>70000</v>
      </c>
      <c r="Y610" s="41">
        <f t="shared" si="382"/>
        <v>0</v>
      </c>
      <c r="Z610" s="1">
        <f t="shared" si="383"/>
        <v>70000</v>
      </c>
      <c r="AA610" s="1">
        <f>95000+25000</f>
        <v>120000</v>
      </c>
      <c r="AB610" s="1">
        <f t="shared" si="374"/>
        <v>50000</v>
      </c>
      <c r="AC610" s="1">
        <f t="shared" si="375"/>
        <v>120000</v>
      </c>
      <c r="AD610" s="41">
        <v>95000</v>
      </c>
      <c r="AE610" s="1">
        <f t="shared" si="368"/>
        <v>-25000</v>
      </c>
      <c r="AF610" s="1">
        <f t="shared" si="369"/>
        <v>95000</v>
      </c>
    </row>
    <row r="611" spans="1:32">
      <c r="A611" s="11">
        <v>43000</v>
      </c>
      <c r="B611" s="11">
        <v>22606</v>
      </c>
      <c r="C611" s="11" t="s">
        <v>665</v>
      </c>
      <c r="D611" s="7">
        <v>7200</v>
      </c>
      <c r="E611" s="7"/>
      <c r="F611" s="7">
        <f t="shared" si="388"/>
        <v>7200</v>
      </c>
      <c r="G611" s="7">
        <v>-1200</v>
      </c>
      <c r="H611" s="7">
        <f t="shared" si="389"/>
        <v>6000</v>
      </c>
      <c r="I611" s="1"/>
      <c r="J611" s="1">
        <f t="shared" si="390"/>
        <v>6000</v>
      </c>
      <c r="K611" s="1"/>
      <c r="L611" s="1">
        <f t="shared" si="391"/>
        <v>6000</v>
      </c>
      <c r="M611" s="8"/>
      <c r="N611" s="1">
        <f t="shared" si="379"/>
        <v>6000</v>
      </c>
      <c r="O611" s="1"/>
      <c r="P611" s="1">
        <v>50000</v>
      </c>
      <c r="Q611" s="1">
        <f t="shared" si="380"/>
        <v>56000</v>
      </c>
      <c r="S611" s="1">
        <v>-4000</v>
      </c>
      <c r="T611" s="1">
        <f t="shared" si="384"/>
        <v>52000</v>
      </c>
      <c r="U611" s="1">
        <f>R611+T611</f>
        <v>52000</v>
      </c>
      <c r="V611" s="1">
        <f t="shared" si="387"/>
        <v>0</v>
      </c>
      <c r="W611" s="1">
        <f t="shared" si="381"/>
        <v>52000</v>
      </c>
      <c r="X611" s="1">
        <v>52000</v>
      </c>
      <c r="Y611" s="41">
        <f t="shared" si="382"/>
        <v>0</v>
      </c>
      <c r="Z611" s="1">
        <f t="shared" si="383"/>
        <v>52000</v>
      </c>
      <c r="AA611" s="1">
        <v>75000</v>
      </c>
      <c r="AB611" s="41">
        <f t="shared" si="374"/>
        <v>23000</v>
      </c>
      <c r="AC611" s="1">
        <f t="shared" si="375"/>
        <v>75000</v>
      </c>
      <c r="AD611" s="41">
        <v>68000</v>
      </c>
      <c r="AE611" s="1">
        <f t="shared" si="368"/>
        <v>-7000</v>
      </c>
      <c r="AF611" s="1">
        <f t="shared" si="369"/>
        <v>68000</v>
      </c>
    </row>
    <row r="612" spans="1:32">
      <c r="A612" s="13">
        <v>43200</v>
      </c>
      <c r="B612" s="11">
        <v>22606</v>
      </c>
      <c r="C612" s="11" t="s">
        <v>523</v>
      </c>
      <c r="D612" s="7">
        <v>53042.58</v>
      </c>
      <c r="E612" s="7"/>
      <c r="F612" s="7">
        <f t="shared" si="388"/>
        <v>53042.58</v>
      </c>
      <c r="G612" s="7">
        <v>-3042.58</v>
      </c>
      <c r="H612" s="7">
        <f t="shared" si="389"/>
        <v>50000</v>
      </c>
      <c r="I612" s="1"/>
      <c r="J612" s="1">
        <f t="shared" si="390"/>
        <v>50000</v>
      </c>
      <c r="K612" s="1"/>
      <c r="L612" s="1">
        <f t="shared" si="391"/>
        <v>50000</v>
      </c>
      <c r="N612" s="1">
        <f t="shared" si="379"/>
        <v>50000</v>
      </c>
      <c r="O612" s="1"/>
      <c r="P612" s="1">
        <v>40000</v>
      </c>
      <c r="Q612" s="1">
        <f t="shared" si="380"/>
        <v>90000</v>
      </c>
      <c r="S612" s="1">
        <f>-23000+4000+6500</f>
        <v>-12500</v>
      </c>
      <c r="T612" s="1">
        <f t="shared" si="384"/>
        <v>77500</v>
      </c>
      <c r="U612" s="1">
        <f>R612+T612</f>
        <v>77500</v>
      </c>
      <c r="V612" s="1">
        <f t="shared" si="387"/>
        <v>0</v>
      </c>
      <c r="W612" s="1">
        <f t="shared" si="381"/>
        <v>77500</v>
      </c>
      <c r="X612" s="1">
        <v>95000</v>
      </c>
      <c r="Y612" s="41">
        <f t="shared" si="382"/>
        <v>17500</v>
      </c>
      <c r="Z612" s="1">
        <f t="shared" si="383"/>
        <v>95000</v>
      </c>
      <c r="AA612" s="41">
        <v>100000</v>
      </c>
      <c r="AB612" s="41">
        <f t="shared" si="374"/>
        <v>5000</v>
      </c>
      <c r="AC612" s="1">
        <f t="shared" si="375"/>
        <v>100000</v>
      </c>
      <c r="AD612" s="41">
        <v>118500</v>
      </c>
      <c r="AE612" s="1">
        <f t="shared" si="368"/>
        <v>18500</v>
      </c>
      <c r="AF612" s="1">
        <f t="shared" si="369"/>
        <v>118500</v>
      </c>
    </row>
    <row r="613" spans="1:32">
      <c r="A613" s="13">
        <v>43210</v>
      </c>
      <c r="B613" s="11">
        <v>22606</v>
      </c>
      <c r="C613" s="42" t="s">
        <v>843</v>
      </c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3"/>
      <c r="S613" s="8"/>
      <c r="T613" s="8"/>
      <c r="U613" s="8"/>
      <c r="V613" s="8"/>
      <c r="W613" s="8"/>
      <c r="X613" s="8"/>
      <c r="Y613" s="8"/>
      <c r="Z613" s="47">
        <v>0</v>
      </c>
      <c r="AA613" s="47">
        <f>20000+18000</f>
        <v>38000</v>
      </c>
      <c r="AB613" s="41">
        <f t="shared" si="374"/>
        <v>38000</v>
      </c>
      <c r="AC613" s="1">
        <f t="shared" si="375"/>
        <v>38000</v>
      </c>
      <c r="AD613" s="41">
        <v>30000</v>
      </c>
      <c r="AE613" s="1">
        <f t="shared" si="368"/>
        <v>-8000</v>
      </c>
      <c r="AF613" s="1">
        <f t="shared" si="369"/>
        <v>30000</v>
      </c>
    </row>
    <row r="614" spans="1:32">
      <c r="A614" s="11">
        <v>49300</v>
      </c>
      <c r="B614" s="11">
        <v>22606</v>
      </c>
      <c r="C614" s="11" t="s">
        <v>417</v>
      </c>
      <c r="D614" s="7">
        <v>1568.55</v>
      </c>
      <c r="E614" s="7"/>
      <c r="F614" s="7">
        <f t="shared" ref="F614:F619" si="392">D614-E614</f>
        <v>1568.55</v>
      </c>
      <c r="G614" s="7">
        <v>-568.54999999999995</v>
      </c>
      <c r="H614" s="7">
        <f t="shared" ref="H614:H619" si="393">D614+G614</f>
        <v>1000</v>
      </c>
      <c r="I614" s="1"/>
      <c r="J614" s="1">
        <f t="shared" ref="J614:J619" si="394">H614-I614</f>
        <v>1000</v>
      </c>
      <c r="K614" s="1"/>
      <c r="L614" s="1">
        <f>H614+K614</f>
        <v>1000</v>
      </c>
      <c r="N614" s="1">
        <f t="shared" ref="N614:N620" si="395">L614+M614</f>
        <v>1000</v>
      </c>
      <c r="O614" s="1"/>
      <c r="Q614" s="1">
        <f t="shared" ref="Q614:Q620" si="396">N614+P614</f>
        <v>1000</v>
      </c>
      <c r="T614" s="1">
        <f t="shared" ref="T614:U618" si="397">Q614+S614</f>
        <v>1000</v>
      </c>
      <c r="U614" s="1">
        <f t="shared" si="397"/>
        <v>1000</v>
      </c>
      <c r="V614" s="1">
        <f t="shared" ref="V614:V628" si="398">U614-T614</f>
        <v>0</v>
      </c>
      <c r="W614" s="1">
        <f t="shared" ref="W614:W628" si="399">T614+V614</f>
        <v>1000</v>
      </c>
      <c r="X614" s="1">
        <v>1000</v>
      </c>
      <c r="Y614" s="41">
        <f t="shared" ref="Y614:Y634" si="400">X614-W614</f>
        <v>0</v>
      </c>
      <c r="Z614" s="1">
        <f t="shared" ref="Z614:Z634" si="401">W614+Y614</f>
        <v>1000</v>
      </c>
      <c r="AA614" s="1">
        <v>1000</v>
      </c>
      <c r="AB614" s="1">
        <f t="shared" si="374"/>
        <v>0</v>
      </c>
      <c r="AC614" s="1">
        <f t="shared" si="375"/>
        <v>1000</v>
      </c>
      <c r="AD614" s="41">
        <v>1000</v>
      </c>
      <c r="AE614" s="1">
        <f t="shared" si="368"/>
        <v>0</v>
      </c>
      <c r="AF614" s="1">
        <f t="shared" si="369"/>
        <v>1000</v>
      </c>
    </row>
    <row r="615" spans="1:32">
      <c r="A615" s="11">
        <v>91210</v>
      </c>
      <c r="B615" s="11">
        <v>22606</v>
      </c>
      <c r="C615" s="11" t="s">
        <v>297</v>
      </c>
      <c r="D615" s="7">
        <v>7200</v>
      </c>
      <c r="E615" s="7"/>
      <c r="F615" s="7">
        <f t="shared" si="392"/>
        <v>7200</v>
      </c>
      <c r="G615" s="7"/>
      <c r="H615" s="7">
        <f t="shared" si="393"/>
        <v>7200</v>
      </c>
      <c r="I615" s="7"/>
      <c r="J615" s="7">
        <f t="shared" si="394"/>
        <v>7200</v>
      </c>
      <c r="K615" s="7"/>
      <c r="L615" s="7">
        <v>7200</v>
      </c>
      <c r="M615" s="7">
        <f>5000-L615</f>
        <v>-2200</v>
      </c>
      <c r="N615" s="7">
        <f t="shared" si="395"/>
        <v>5000</v>
      </c>
      <c r="O615" s="7"/>
      <c r="Q615" s="1">
        <f t="shared" si="396"/>
        <v>5000</v>
      </c>
      <c r="T615" s="1">
        <f t="shared" si="397"/>
        <v>5000</v>
      </c>
      <c r="U615" s="1">
        <f t="shared" si="397"/>
        <v>5000</v>
      </c>
      <c r="V615" s="1">
        <f t="shared" si="398"/>
        <v>0</v>
      </c>
      <c r="W615" s="1">
        <f t="shared" si="399"/>
        <v>5000</v>
      </c>
      <c r="X615" s="1">
        <v>2000</v>
      </c>
      <c r="Y615" s="41">
        <f t="shared" si="400"/>
        <v>-3000</v>
      </c>
      <c r="Z615" s="1">
        <f t="shared" si="401"/>
        <v>2000</v>
      </c>
      <c r="AA615" s="1">
        <v>2000</v>
      </c>
      <c r="AB615" s="1">
        <f t="shared" si="374"/>
        <v>0</v>
      </c>
      <c r="AC615" s="1">
        <f t="shared" si="375"/>
        <v>2000</v>
      </c>
      <c r="AD615" s="41">
        <v>2000</v>
      </c>
      <c r="AE615" s="1">
        <f t="shared" si="368"/>
        <v>0</v>
      </c>
      <c r="AF615" s="1">
        <f t="shared" si="369"/>
        <v>2000</v>
      </c>
    </row>
    <row r="616" spans="1:32">
      <c r="A616" s="11">
        <v>92400</v>
      </c>
      <c r="B616" s="11">
        <v>22606</v>
      </c>
      <c r="C616" s="11" t="s">
        <v>494</v>
      </c>
      <c r="D616" s="7">
        <v>2000</v>
      </c>
      <c r="E616" s="7"/>
      <c r="F616" s="7">
        <f t="shared" si="392"/>
        <v>2000</v>
      </c>
      <c r="G616" s="7"/>
      <c r="H616" s="7">
        <f t="shared" si="393"/>
        <v>2000</v>
      </c>
      <c r="I616" s="1"/>
      <c r="J616" s="1">
        <f t="shared" si="394"/>
        <v>2000</v>
      </c>
      <c r="K616" s="1"/>
      <c r="L616" s="1">
        <f>H616+K616</f>
        <v>2000</v>
      </c>
      <c r="N616" s="1">
        <f t="shared" si="395"/>
        <v>2000</v>
      </c>
      <c r="O616" s="1"/>
      <c r="Q616" s="1">
        <f t="shared" si="396"/>
        <v>2000</v>
      </c>
      <c r="T616" s="1">
        <f t="shared" si="397"/>
        <v>2000</v>
      </c>
      <c r="U616" s="1">
        <f t="shared" si="397"/>
        <v>2000</v>
      </c>
      <c r="V616" s="1">
        <f t="shared" si="398"/>
        <v>0</v>
      </c>
      <c r="W616" s="1">
        <f t="shared" si="399"/>
        <v>2000</v>
      </c>
      <c r="X616" s="1">
        <v>12000</v>
      </c>
      <c r="Y616" s="41">
        <f t="shared" si="400"/>
        <v>10000</v>
      </c>
      <c r="Z616" s="1">
        <f t="shared" si="401"/>
        <v>12000</v>
      </c>
      <c r="AA616" s="1">
        <v>12000</v>
      </c>
      <c r="AB616" s="1">
        <f t="shared" si="374"/>
        <v>0</v>
      </c>
      <c r="AC616" s="1">
        <f t="shared" si="375"/>
        <v>12000</v>
      </c>
      <c r="AD616" s="41">
        <v>5000</v>
      </c>
      <c r="AE616" s="1">
        <f t="shared" si="368"/>
        <v>-7000</v>
      </c>
      <c r="AF616" s="1">
        <f t="shared" si="369"/>
        <v>5000</v>
      </c>
    </row>
    <row r="617" spans="1:32">
      <c r="A617" s="11">
        <v>91210</v>
      </c>
      <c r="B617" s="11">
        <v>22609</v>
      </c>
      <c r="C617" s="11" t="s">
        <v>532</v>
      </c>
      <c r="D617" s="7">
        <v>6400</v>
      </c>
      <c r="E617" s="7"/>
      <c r="F617" s="7">
        <f t="shared" si="392"/>
        <v>6400</v>
      </c>
      <c r="G617" s="7"/>
      <c r="H617" s="7">
        <f t="shared" si="393"/>
        <v>6400</v>
      </c>
      <c r="I617" s="7"/>
      <c r="J617" s="7">
        <f t="shared" si="394"/>
        <v>6400</v>
      </c>
      <c r="K617" s="7"/>
      <c r="L617" s="7">
        <v>6400</v>
      </c>
      <c r="M617" s="7">
        <f>5000-L617</f>
        <v>-1400</v>
      </c>
      <c r="N617" s="7">
        <f t="shared" si="395"/>
        <v>5000</v>
      </c>
      <c r="O617" s="7"/>
      <c r="Q617" s="1">
        <f t="shared" si="396"/>
        <v>5000</v>
      </c>
      <c r="S617" s="1">
        <v>-5000</v>
      </c>
      <c r="T617" s="1">
        <f t="shared" si="397"/>
        <v>0</v>
      </c>
      <c r="U617" s="1">
        <f t="shared" si="397"/>
        <v>0</v>
      </c>
      <c r="V617" s="1">
        <f t="shared" si="398"/>
        <v>0</v>
      </c>
      <c r="W617" s="1">
        <f t="shared" si="399"/>
        <v>0</v>
      </c>
      <c r="X617" s="1">
        <v>0</v>
      </c>
      <c r="Y617" s="41">
        <f t="shared" si="400"/>
        <v>0</v>
      </c>
      <c r="Z617" s="1">
        <f t="shared" si="401"/>
        <v>0</v>
      </c>
      <c r="AA617" s="1">
        <v>0</v>
      </c>
      <c r="AB617" s="1">
        <f t="shared" si="374"/>
        <v>0</v>
      </c>
      <c r="AC617" s="1">
        <f t="shared" si="375"/>
        <v>0</v>
      </c>
      <c r="AD617" s="41">
        <v>0</v>
      </c>
      <c r="AE617" s="1">
        <f t="shared" si="368"/>
        <v>0</v>
      </c>
      <c r="AF617" s="1">
        <f t="shared" si="369"/>
        <v>0</v>
      </c>
    </row>
    <row r="618" spans="1:32">
      <c r="A618" s="11">
        <v>13000</v>
      </c>
      <c r="B618" s="11">
        <v>22699</v>
      </c>
      <c r="C618" s="11" t="s">
        <v>275</v>
      </c>
      <c r="D618" s="7">
        <v>55500</v>
      </c>
      <c r="E618" s="7">
        <v>55500</v>
      </c>
      <c r="F618" s="7">
        <f t="shared" si="392"/>
        <v>0</v>
      </c>
      <c r="G618" s="7"/>
      <c r="H618" s="7">
        <f t="shared" si="393"/>
        <v>55500</v>
      </c>
      <c r="I618" s="1"/>
      <c r="J618" s="1">
        <f t="shared" si="394"/>
        <v>55500</v>
      </c>
      <c r="K618" s="1"/>
      <c r="L618" s="1">
        <f>H618+K618</f>
        <v>55500</v>
      </c>
      <c r="N618" s="1">
        <f t="shared" si="395"/>
        <v>55500</v>
      </c>
      <c r="O618" s="1"/>
      <c r="Q618" s="1">
        <f t="shared" si="396"/>
        <v>55500</v>
      </c>
      <c r="T618" s="1">
        <f t="shared" si="397"/>
        <v>55500</v>
      </c>
      <c r="U618" s="1">
        <f t="shared" si="397"/>
        <v>55500</v>
      </c>
      <c r="V618" s="1">
        <f t="shared" si="398"/>
        <v>0</v>
      </c>
      <c r="W618" s="1">
        <f t="shared" si="399"/>
        <v>55500</v>
      </c>
      <c r="X618" s="1">
        <v>55500</v>
      </c>
      <c r="Y618" s="41">
        <f t="shared" si="400"/>
        <v>0</v>
      </c>
      <c r="Z618" s="1">
        <f t="shared" si="401"/>
        <v>55500</v>
      </c>
      <c r="AA618" s="1">
        <v>55500</v>
      </c>
      <c r="AB618" s="1">
        <f t="shared" si="374"/>
        <v>0</v>
      </c>
      <c r="AC618" s="1">
        <f t="shared" si="375"/>
        <v>55500</v>
      </c>
      <c r="AD618" s="41">
        <f>88500-6050</f>
        <v>82450</v>
      </c>
      <c r="AE618" s="1">
        <f t="shared" si="368"/>
        <v>26950</v>
      </c>
      <c r="AF618" s="1">
        <f t="shared" si="369"/>
        <v>82450</v>
      </c>
    </row>
    <row r="619" spans="1:32">
      <c r="A619" s="11">
        <v>13010</v>
      </c>
      <c r="B619" s="11">
        <v>22699</v>
      </c>
      <c r="C619" s="11" t="s">
        <v>534</v>
      </c>
      <c r="D619" s="7">
        <v>3000</v>
      </c>
      <c r="E619" s="7"/>
      <c r="F619" s="7">
        <f t="shared" si="392"/>
        <v>3000</v>
      </c>
      <c r="G619" s="7"/>
      <c r="H619" s="7">
        <f t="shared" si="393"/>
        <v>3000</v>
      </c>
      <c r="I619" s="7"/>
      <c r="J619" s="7">
        <f t="shared" si="394"/>
        <v>3000</v>
      </c>
      <c r="K619" s="7"/>
      <c r="L619" s="7">
        <v>3000</v>
      </c>
      <c r="M619" s="7">
        <v>0</v>
      </c>
      <c r="N619" s="7">
        <f t="shared" si="395"/>
        <v>3000</v>
      </c>
      <c r="O619" s="7"/>
      <c r="Q619" s="1">
        <f t="shared" si="396"/>
        <v>3000</v>
      </c>
      <c r="S619" s="1">
        <v>-1200</v>
      </c>
      <c r="T619" s="1">
        <f t="shared" ref="T619:T628" si="402">Q619+S619</f>
        <v>1800</v>
      </c>
      <c r="U619" s="1">
        <v>1800</v>
      </c>
      <c r="V619" s="1">
        <f t="shared" si="398"/>
        <v>0</v>
      </c>
      <c r="W619" s="1">
        <f t="shared" si="399"/>
        <v>1800</v>
      </c>
      <c r="X619" s="1">
        <v>1800</v>
      </c>
      <c r="Y619" s="41">
        <f t="shared" si="400"/>
        <v>0</v>
      </c>
      <c r="Z619" s="1">
        <f t="shared" si="401"/>
        <v>1800</v>
      </c>
      <c r="AA619" s="1">
        <v>1800</v>
      </c>
      <c r="AB619" s="1">
        <f t="shared" si="374"/>
        <v>0</v>
      </c>
      <c r="AC619" s="1">
        <f t="shared" si="375"/>
        <v>1800</v>
      </c>
      <c r="AD619" s="41">
        <v>1800</v>
      </c>
      <c r="AE619" s="1">
        <f t="shared" si="368"/>
        <v>0</v>
      </c>
      <c r="AF619" s="1">
        <f t="shared" si="369"/>
        <v>1800</v>
      </c>
    </row>
    <row r="620" spans="1:32">
      <c r="A620" s="11">
        <v>13200</v>
      </c>
      <c r="B620" s="11">
        <v>22699</v>
      </c>
      <c r="C620" s="42" t="s">
        <v>256</v>
      </c>
      <c r="D620" s="7"/>
      <c r="E620" s="7"/>
      <c r="F620" s="7"/>
      <c r="G620" s="7"/>
      <c r="H620" s="7"/>
      <c r="I620" s="1"/>
      <c r="J620" s="1"/>
      <c r="K620" s="1"/>
      <c r="L620" s="1">
        <v>0</v>
      </c>
      <c r="M620" s="7">
        <v>10000</v>
      </c>
      <c r="N620" s="1">
        <f t="shared" si="395"/>
        <v>10000</v>
      </c>
      <c r="O620" s="1"/>
      <c r="Q620" s="1">
        <f t="shared" si="396"/>
        <v>10000</v>
      </c>
      <c r="T620" s="1">
        <f t="shared" si="402"/>
        <v>10000</v>
      </c>
      <c r="U620" s="1">
        <f>R620+T620</f>
        <v>10000</v>
      </c>
      <c r="V620" s="1">
        <f t="shared" si="398"/>
        <v>0</v>
      </c>
      <c r="W620" s="1">
        <f t="shared" si="399"/>
        <v>10000</v>
      </c>
      <c r="X620" s="1">
        <v>10000</v>
      </c>
      <c r="Y620" s="41">
        <f t="shared" si="400"/>
        <v>0</v>
      </c>
      <c r="Z620" s="1">
        <f t="shared" si="401"/>
        <v>10000</v>
      </c>
      <c r="AA620" s="1">
        <v>30000</v>
      </c>
      <c r="AB620" s="1">
        <f t="shared" si="374"/>
        <v>20000</v>
      </c>
      <c r="AC620" s="1">
        <f t="shared" si="375"/>
        <v>30000</v>
      </c>
      <c r="AD620" s="41">
        <v>30000</v>
      </c>
      <c r="AE620" s="1">
        <f t="shared" si="368"/>
        <v>0</v>
      </c>
      <c r="AF620" s="1">
        <f t="shared" si="369"/>
        <v>30000</v>
      </c>
    </row>
    <row r="621" spans="1:32">
      <c r="A621" s="11">
        <v>13300</v>
      </c>
      <c r="B621" s="11">
        <v>22699</v>
      </c>
      <c r="C621" s="42" t="s">
        <v>256</v>
      </c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47">
        <v>0</v>
      </c>
      <c r="R621" s="3">
        <v>25135.74</v>
      </c>
      <c r="S621" s="47">
        <v>5000</v>
      </c>
      <c r="T621" s="1">
        <f t="shared" si="402"/>
        <v>5000</v>
      </c>
      <c r="U621" s="1">
        <v>5000</v>
      </c>
      <c r="V621" s="1">
        <f t="shared" si="398"/>
        <v>0</v>
      </c>
      <c r="W621" s="1">
        <f t="shared" si="399"/>
        <v>5000</v>
      </c>
      <c r="X621" s="41">
        <v>5000</v>
      </c>
      <c r="Y621" s="41">
        <f t="shared" si="400"/>
        <v>0</v>
      </c>
      <c r="Z621" s="1">
        <f t="shared" si="401"/>
        <v>5000</v>
      </c>
      <c r="AA621" s="41">
        <v>20000</v>
      </c>
      <c r="AB621" s="41">
        <f t="shared" si="374"/>
        <v>15000</v>
      </c>
      <c r="AC621" s="1">
        <f t="shared" si="375"/>
        <v>20000</v>
      </c>
      <c r="AD621" s="41">
        <v>15000</v>
      </c>
      <c r="AE621" s="1">
        <f t="shared" si="368"/>
        <v>-5000</v>
      </c>
      <c r="AF621" s="1">
        <f t="shared" si="369"/>
        <v>15000</v>
      </c>
    </row>
    <row r="622" spans="1:32">
      <c r="A622" s="13">
        <v>13500</v>
      </c>
      <c r="B622" s="11">
        <v>22699</v>
      </c>
      <c r="C622" s="11" t="s">
        <v>316</v>
      </c>
      <c r="D622" s="7">
        <v>5000</v>
      </c>
      <c r="E622" s="7"/>
      <c r="F622" s="7">
        <f>D622-E622</f>
        <v>5000</v>
      </c>
      <c r="G622" s="7"/>
      <c r="H622" s="7">
        <f>D622+G622</f>
        <v>5000</v>
      </c>
      <c r="I622" s="1"/>
      <c r="J622" s="1">
        <f>H622-I622</f>
        <v>5000</v>
      </c>
      <c r="K622" s="1"/>
      <c r="L622" s="1">
        <f>H622+K622</f>
        <v>5000</v>
      </c>
      <c r="M622" s="7">
        <v>15000</v>
      </c>
      <c r="N622" s="1">
        <f t="shared" ref="N622:N628" si="403">L622+M622</f>
        <v>20000</v>
      </c>
      <c r="O622" s="1"/>
      <c r="P622" s="1">
        <v>-7000</v>
      </c>
      <c r="Q622" s="1">
        <f t="shared" ref="Q622:Q628" si="404">N622+P622</f>
        <v>13000</v>
      </c>
      <c r="S622" s="1">
        <v>3000</v>
      </c>
      <c r="T622" s="1">
        <f t="shared" si="402"/>
        <v>16000</v>
      </c>
      <c r="U622" s="1">
        <f>R622+T622</f>
        <v>16000</v>
      </c>
      <c r="V622" s="1">
        <f t="shared" si="398"/>
        <v>0</v>
      </c>
      <c r="W622" s="1">
        <f t="shared" si="399"/>
        <v>16000</v>
      </c>
      <c r="X622" s="1">
        <v>15000</v>
      </c>
      <c r="Y622" s="41">
        <f t="shared" si="400"/>
        <v>-1000</v>
      </c>
      <c r="Z622" s="1">
        <f t="shared" si="401"/>
        <v>15000</v>
      </c>
      <c r="AA622" s="1">
        <v>15000</v>
      </c>
      <c r="AB622" s="41">
        <f t="shared" si="374"/>
        <v>0</v>
      </c>
      <c r="AC622" s="1">
        <f t="shared" si="375"/>
        <v>15000</v>
      </c>
      <c r="AD622" s="41">
        <v>15000</v>
      </c>
      <c r="AE622" s="1">
        <f t="shared" si="368"/>
        <v>0</v>
      </c>
      <c r="AF622" s="1">
        <f t="shared" si="369"/>
        <v>15000</v>
      </c>
    </row>
    <row r="623" spans="1:32">
      <c r="A623" s="11">
        <v>15100</v>
      </c>
      <c r="B623" s="11">
        <v>22699</v>
      </c>
      <c r="C623" s="11" t="s">
        <v>74</v>
      </c>
      <c r="D623" s="7">
        <v>601.01</v>
      </c>
      <c r="E623" s="7"/>
      <c r="F623" s="7">
        <f t="shared" ref="F623" si="405">D623-E623</f>
        <v>601.01</v>
      </c>
      <c r="G623" s="7">
        <v>-101.01</v>
      </c>
      <c r="H623" s="7">
        <f t="shared" ref="H623" si="406">D623+G623</f>
        <v>500</v>
      </c>
      <c r="I623" s="1"/>
      <c r="J623" s="1">
        <f t="shared" ref="J623" si="407">H623-I623</f>
        <v>500</v>
      </c>
      <c r="K623" s="1"/>
      <c r="L623" s="1">
        <f t="shared" ref="L623" si="408">H623+K623</f>
        <v>500</v>
      </c>
      <c r="N623" s="1">
        <f t="shared" si="403"/>
        <v>500</v>
      </c>
      <c r="O623" s="1"/>
      <c r="Q623" s="1">
        <f t="shared" si="404"/>
        <v>500</v>
      </c>
      <c r="R623" s="1">
        <v>0</v>
      </c>
      <c r="T623" s="1">
        <f t="shared" si="402"/>
        <v>500</v>
      </c>
      <c r="U623" s="1">
        <v>3000</v>
      </c>
      <c r="V623" s="1">
        <f t="shared" si="398"/>
        <v>2500</v>
      </c>
      <c r="W623" s="1">
        <f t="shared" si="399"/>
        <v>3000</v>
      </c>
      <c r="X623" s="1">
        <f>5000+75239.31</f>
        <v>80239.31</v>
      </c>
      <c r="Y623" s="41">
        <f t="shared" si="400"/>
        <v>77239.31</v>
      </c>
      <c r="Z623" s="1">
        <f t="shared" si="401"/>
        <v>80239.31</v>
      </c>
      <c r="AA623" s="1">
        <v>70000</v>
      </c>
      <c r="AB623" s="1">
        <f t="shared" si="374"/>
        <v>-10239.309999999998</v>
      </c>
      <c r="AC623" s="1">
        <f t="shared" si="375"/>
        <v>70000</v>
      </c>
      <c r="AD623" s="41">
        <f>75000+861420.96</f>
        <v>936420.96</v>
      </c>
      <c r="AE623" s="1">
        <f t="shared" si="368"/>
        <v>866420.96</v>
      </c>
      <c r="AF623" s="1">
        <f t="shared" si="369"/>
        <v>936420.96</v>
      </c>
    </row>
    <row r="624" spans="1:32">
      <c r="A624" s="13">
        <v>17000</v>
      </c>
      <c r="B624" s="11">
        <v>22699</v>
      </c>
      <c r="C624" s="11" t="s">
        <v>256</v>
      </c>
      <c r="D624" s="7">
        <v>3005.06</v>
      </c>
      <c r="E624" s="7"/>
      <c r="F624" s="7">
        <f>D624-E624</f>
        <v>3005.06</v>
      </c>
      <c r="G624" s="7"/>
      <c r="H624" s="7">
        <f>D624+G624</f>
        <v>3005.06</v>
      </c>
      <c r="I624" s="1"/>
      <c r="J624" s="1">
        <f>H624-I624</f>
        <v>3005.06</v>
      </c>
      <c r="K624" s="1"/>
      <c r="L624" s="1">
        <f>H624+K624</f>
        <v>3005.06</v>
      </c>
      <c r="N624" s="1">
        <f t="shared" si="403"/>
        <v>3005.06</v>
      </c>
      <c r="O624" s="1"/>
      <c r="P624" s="1">
        <v>10000</v>
      </c>
      <c r="Q624" s="1">
        <f t="shared" si="404"/>
        <v>13005.06</v>
      </c>
      <c r="T624" s="1">
        <f t="shared" si="402"/>
        <v>13005.06</v>
      </c>
      <c r="U624" s="1">
        <f>R624+T624</f>
        <v>13005.06</v>
      </c>
      <c r="V624" s="1">
        <f t="shared" si="398"/>
        <v>0</v>
      </c>
      <c r="W624" s="1">
        <f t="shared" si="399"/>
        <v>13005.06</v>
      </c>
      <c r="X624" s="1">
        <v>13000</v>
      </c>
      <c r="Y624" s="41">
        <f t="shared" si="400"/>
        <v>-5.0599999999994907</v>
      </c>
      <c r="Z624" s="1">
        <f t="shared" si="401"/>
        <v>13000</v>
      </c>
      <c r="AA624" s="1">
        <f>15000+10000</f>
        <v>25000</v>
      </c>
      <c r="AB624" s="1">
        <f t="shared" si="374"/>
        <v>12000</v>
      </c>
      <c r="AC624" s="1">
        <f t="shared" si="375"/>
        <v>25000</v>
      </c>
      <c r="AD624" s="41">
        <v>30000</v>
      </c>
      <c r="AE624" s="1">
        <f t="shared" si="368"/>
        <v>5000</v>
      </c>
      <c r="AF624" s="1">
        <f t="shared" si="369"/>
        <v>30000</v>
      </c>
    </row>
    <row r="625" spans="1:32">
      <c r="A625" s="13">
        <v>17100</v>
      </c>
      <c r="B625" s="11">
        <v>22699</v>
      </c>
      <c r="C625" s="11" t="s">
        <v>400</v>
      </c>
      <c r="D625" s="7">
        <v>1080</v>
      </c>
      <c r="E625" s="7"/>
      <c r="F625" s="7">
        <f>D625-E625</f>
        <v>1080</v>
      </c>
      <c r="G625" s="7"/>
      <c r="H625" s="7">
        <f>D625+G625</f>
        <v>1080</v>
      </c>
      <c r="I625" s="1"/>
      <c r="J625" s="1">
        <f>H625-I625</f>
        <v>1080</v>
      </c>
      <c r="K625" s="1"/>
      <c r="L625" s="1">
        <f>H625+K625</f>
        <v>1080</v>
      </c>
      <c r="N625" s="1">
        <f t="shared" si="403"/>
        <v>1080</v>
      </c>
      <c r="O625" s="1"/>
      <c r="Q625" s="1">
        <f t="shared" si="404"/>
        <v>1080</v>
      </c>
      <c r="T625" s="1">
        <f t="shared" si="402"/>
        <v>1080</v>
      </c>
      <c r="U625" s="1">
        <f>R625+T625</f>
        <v>1080</v>
      </c>
      <c r="V625" s="1">
        <f t="shared" si="398"/>
        <v>0</v>
      </c>
      <c r="W625" s="1">
        <f t="shared" si="399"/>
        <v>1080</v>
      </c>
      <c r="X625" s="1">
        <v>1500</v>
      </c>
      <c r="Y625" s="41">
        <f t="shared" si="400"/>
        <v>420</v>
      </c>
      <c r="Z625" s="1">
        <f t="shared" si="401"/>
        <v>1500</v>
      </c>
      <c r="AA625" s="1">
        <v>1500</v>
      </c>
      <c r="AB625" s="1">
        <f t="shared" si="374"/>
        <v>0</v>
      </c>
      <c r="AC625" s="1">
        <f t="shared" si="375"/>
        <v>1500</v>
      </c>
      <c r="AD625" s="41">
        <v>5000</v>
      </c>
      <c r="AE625" s="1">
        <f t="shared" si="368"/>
        <v>3500</v>
      </c>
      <c r="AF625" s="1">
        <f t="shared" si="369"/>
        <v>5000</v>
      </c>
    </row>
    <row r="626" spans="1:32">
      <c r="A626" s="13">
        <v>23110</v>
      </c>
      <c r="B626" s="11">
        <v>22699</v>
      </c>
      <c r="C626" s="11" t="s">
        <v>329</v>
      </c>
      <c r="D626" s="8"/>
      <c r="E626" s="8"/>
      <c r="F626" s="8"/>
      <c r="G626" s="8"/>
      <c r="H626" s="8"/>
      <c r="I626" s="8"/>
      <c r="J626" s="8"/>
      <c r="K626" s="8"/>
      <c r="L626" s="10">
        <v>7000</v>
      </c>
      <c r="M626" s="10">
        <v>0</v>
      </c>
      <c r="N626" s="7">
        <f t="shared" si="403"/>
        <v>7000</v>
      </c>
      <c r="O626" s="7"/>
      <c r="P626" s="3"/>
      <c r="Q626" s="1">
        <f t="shared" si="404"/>
        <v>7000</v>
      </c>
      <c r="R626" s="3"/>
      <c r="S626" s="3"/>
      <c r="T626" s="1">
        <f t="shared" si="402"/>
        <v>7000</v>
      </c>
      <c r="U626" s="41">
        <v>14000</v>
      </c>
      <c r="V626" s="1">
        <f t="shared" si="398"/>
        <v>7000</v>
      </c>
      <c r="W626" s="1">
        <f t="shared" si="399"/>
        <v>14000</v>
      </c>
      <c r="X626" s="41">
        <v>20000</v>
      </c>
      <c r="Y626" s="41">
        <f t="shared" si="400"/>
        <v>6000</v>
      </c>
      <c r="Z626" s="1">
        <f t="shared" si="401"/>
        <v>20000</v>
      </c>
      <c r="AA626" s="41">
        <f>40000</f>
        <v>40000</v>
      </c>
      <c r="AB626" s="41">
        <f t="shared" si="374"/>
        <v>20000</v>
      </c>
      <c r="AC626" s="1">
        <f t="shared" si="375"/>
        <v>40000</v>
      </c>
      <c r="AD626" s="41">
        <v>40000</v>
      </c>
      <c r="AE626" s="1">
        <f t="shared" si="368"/>
        <v>0</v>
      </c>
      <c r="AF626" s="1">
        <f t="shared" si="369"/>
        <v>40000</v>
      </c>
    </row>
    <row r="627" spans="1:32">
      <c r="A627" s="11">
        <v>23112</v>
      </c>
      <c r="B627" s="11">
        <v>22699</v>
      </c>
      <c r="C627" s="11" t="s">
        <v>256</v>
      </c>
      <c r="D627" s="7">
        <v>12500</v>
      </c>
      <c r="E627" s="7"/>
      <c r="F627" s="7">
        <f>D627-E627</f>
        <v>12500</v>
      </c>
      <c r="G627" s="7"/>
      <c r="H627" s="7">
        <f>D627+G627</f>
        <v>12500</v>
      </c>
      <c r="I627" s="1"/>
      <c r="J627" s="1">
        <f>H627-I627</f>
        <v>12500</v>
      </c>
      <c r="K627" s="1"/>
      <c r="L627" s="1">
        <f>H627+K627</f>
        <v>12500</v>
      </c>
      <c r="N627" s="1">
        <f t="shared" si="403"/>
        <v>12500</v>
      </c>
      <c r="O627" s="1"/>
      <c r="P627" s="3"/>
      <c r="Q627" s="1">
        <f t="shared" si="404"/>
        <v>12500</v>
      </c>
      <c r="R627" s="3"/>
      <c r="S627" s="41"/>
      <c r="T627" s="1">
        <f t="shared" si="402"/>
        <v>12500</v>
      </c>
      <c r="U627" s="1">
        <v>10000</v>
      </c>
      <c r="V627" s="1">
        <f t="shared" si="398"/>
        <v>-2500</v>
      </c>
      <c r="W627" s="1">
        <f t="shared" si="399"/>
        <v>10000</v>
      </c>
      <c r="X627" s="41">
        <v>10000</v>
      </c>
      <c r="Y627" s="41">
        <f t="shared" si="400"/>
        <v>0</v>
      </c>
      <c r="Z627" s="1">
        <f t="shared" si="401"/>
        <v>10000</v>
      </c>
      <c r="AA627" s="41">
        <v>10000</v>
      </c>
      <c r="AB627" s="1">
        <f t="shared" si="374"/>
        <v>0</v>
      </c>
      <c r="AC627" s="1">
        <f t="shared" si="375"/>
        <v>10000</v>
      </c>
      <c r="AD627" s="41">
        <v>5000</v>
      </c>
      <c r="AE627" s="1">
        <f t="shared" si="368"/>
        <v>-5000</v>
      </c>
      <c r="AF627" s="1">
        <f t="shared" si="369"/>
        <v>5000</v>
      </c>
    </row>
    <row r="628" spans="1:32">
      <c r="A628" s="42">
        <v>23113</v>
      </c>
      <c r="B628" s="11">
        <v>22699</v>
      </c>
      <c r="C628" s="11" t="s">
        <v>256</v>
      </c>
      <c r="D628" s="7">
        <v>3090</v>
      </c>
      <c r="E628" s="7">
        <v>7000</v>
      </c>
      <c r="F628" s="7">
        <f>D628-E628</f>
        <v>-3910</v>
      </c>
      <c r="G628" s="7">
        <v>3910</v>
      </c>
      <c r="H628" s="7">
        <f>D628+G628</f>
        <v>7000</v>
      </c>
      <c r="I628" s="7"/>
      <c r="J628" s="7">
        <f>H628-I628</f>
        <v>7000</v>
      </c>
      <c r="K628" s="7"/>
      <c r="L628" s="7">
        <v>7000</v>
      </c>
      <c r="M628" s="7">
        <v>0</v>
      </c>
      <c r="N628" s="7">
        <f t="shared" si="403"/>
        <v>7000</v>
      </c>
      <c r="O628" s="7"/>
      <c r="Q628" s="1">
        <f t="shared" si="404"/>
        <v>7000</v>
      </c>
      <c r="T628" s="1">
        <f t="shared" si="402"/>
        <v>7000</v>
      </c>
      <c r="U628" s="1">
        <f>R628+T628</f>
        <v>7000</v>
      </c>
      <c r="V628" s="1">
        <f t="shared" si="398"/>
        <v>0</v>
      </c>
      <c r="W628" s="1">
        <f t="shared" si="399"/>
        <v>7000</v>
      </c>
      <c r="X628" s="1">
        <v>3000</v>
      </c>
      <c r="Y628" s="41">
        <f t="shared" si="400"/>
        <v>-4000</v>
      </c>
      <c r="Z628" s="1">
        <f t="shared" si="401"/>
        <v>3000</v>
      </c>
      <c r="AA628" s="1">
        <v>5000</v>
      </c>
      <c r="AB628" s="41">
        <f t="shared" si="374"/>
        <v>2000</v>
      </c>
      <c r="AC628" s="1">
        <f t="shared" si="375"/>
        <v>5000</v>
      </c>
      <c r="AD628" s="41">
        <v>5000</v>
      </c>
      <c r="AE628" s="1">
        <f t="shared" si="368"/>
        <v>0</v>
      </c>
      <c r="AF628" s="1">
        <f t="shared" si="369"/>
        <v>5000</v>
      </c>
    </row>
    <row r="629" spans="1:32">
      <c r="A629" s="11">
        <v>31100</v>
      </c>
      <c r="B629" s="11">
        <v>22699</v>
      </c>
      <c r="C629" s="39" t="s">
        <v>256</v>
      </c>
      <c r="D629" s="7"/>
      <c r="E629" s="7"/>
      <c r="F629" s="7"/>
      <c r="G629" s="7"/>
      <c r="H629" s="7"/>
      <c r="I629" s="1"/>
      <c r="J629" s="1"/>
      <c r="K629" s="1"/>
      <c r="L629" s="1"/>
      <c r="N629" s="1"/>
      <c r="O629" s="1"/>
      <c r="P629" s="3"/>
      <c r="R629" s="3"/>
      <c r="S629" s="3"/>
      <c r="T629" s="1"/>
      <c r="V629" s="1"/>
      <c r="W629" s="1">
        <v>0</v>
      </c>
      <c r="X629" s="41">
        <v>10000</v>
      </c>
      <c r="Y629" s="41">
        <f t="shared" si="400"/>
        <v>10000</v>
      </c>
      <c r="Z629" s="1">
        <f t="shared" si="401"/>
        <v>10000</v>
      </c>
      <c r="AA629" s="41">
        <v>5000</v>
      </c>
      <c r="AB629" s="1">
        <f t="shared" si="374"/>
        <v>-5000</v>
      </c>
      <c r="AC629" s="1">
        <f t="shared" si="375"/>
        <v>5000</v>
      </c>
      <c r="AD629" s="41">
        <v>3000</v>
      </c>
      <c r="AE629" s="1">
        <f t="shared" si="368"/>
        <v>-2000</v>
      </c>
      <c r="AF629" s="1">
        <f t="shared" si="369"/>
        <v>3000</v>
      </c>
    </row>
    <row r="630" spans="1:32">
      <c r="A630" s="11">
        <v>32000</v>
      </c>
      <c r="B630" s="11">
        <v>22699</v>
      </c>
      <c r="C630" s="11" t="s">
        <v>256</v>
      </c>
      <c r="D630" s="7">
        <v>4400</v>
      </c>
      <c r="E630" s="7"/>
      <c r="F630" s="7">
        <f>D630-E630</f>
        <v>4400</v>
      </c>
      <c r="G630" s="7">
        <v>-1400</v>
      </c>
      <c r="H630" s="7">
        <f>D630+G630</f>
        <v>3000</v>
      </c>
      <c r="I630" s="1"/>
      <c r="J630" s="1">
        <f>H630-I630</f>
        <v>3000</v>
      </c>
      <c r="K630" s="1"/>
      <c r="L630" s="1">
        <f>H630+K630</f>
        <v>3000</v>
      </c>
      <c r="N630" s="1">
        <f>L630+M630</f>
        <v>3000</v>
      </c>
      <c r="O630" s="1"/>
      <c r="P630" s="3"/>
      <c r="Q630" s="1">
        <f>N630+P630</f>
        <v>3000</v>
      </c>
      <c r="R630" s="3"/>
      <c r="S630" s="3"/>
      <c r="T630" s="1">
        <f t="shared" ref="T630:U633" si="409">Q630+S630</f>
        <v>3000</v>
      </c>
      <c r="U630" s="1">
        <f t="shared" si="409"/>
        <v>3000</v>
      </c>
      <c r="V630" s="1">
        <f>U630-T630</f>
        <v>0</v>
      </c>
      <c r="W630" s="1">
        <f>T630+V630</f>
        <v>3000</v>
      </c>
      <c r="X630" s="41">
        <v>1500</v>
      </c>
      <c r="Y630" s="41">
        <f t="shared" si="400"/>
        <v>-1500</v>
      </c>
      <c r="Z630" s="1">
        <f t="shared" si="401"/>
        <v>1500</v>
      </c>
      <c r="AA630" s="41">
        <v>1000</v>
      </c>
      <c r="AB630" s="41">
        <f t="shared" si="374"/>
        <v>-500</v>
      </c>
      <c r="AC630" s="1">
        <f t="shared" si="375"/>
        <v>1000</v>
      </c>
      <c r="AD630" s="41">
        <v>1000</v>
      </c>
      <c r="AE630" s="1">
        <f t="shared" si="368"/>
        <v>0</v>
      </c>
      <c r="AF630" s="1">
        <f t="shared" si="369"/>
        <v>1000</v>
      </c>
    </row>
    <row r="631" spans="1:32">
      <c r="A631" s="11">
        <v>33220</v>
      </c>
      <c r="B631" s="11">
        <v>22699</v>
      </c>
      <c r="C631" s="11" t="s">
        <v>473</v>
      </c>
      <c r="D631" s="7">
        <v>1600</v>
      </c>
      <c r="E631" s="7"/>
      <c r="F631" s="7">
        <f>D631-E631</f>
        <v>1600</v>
      </c>
      <c r="G631" s="7"/>
      <c r="H631" s="7">
        <f>D631+G631</f>
        <v>1600</v>
      </c>
      <c r="I631" s="1"/>
      <c r="J631" s="1">
        <f>H631-I631</f>
        <v>1600</v>
      </c>
      <c r="K631" s="1"/>
      <c r="L631" s="1">
        <f>H631+K631</f>
        <v>1600</v>
      </c>
      <c r="M631" s="8"/>
      <c r="N631" s="1">
        <f>L631+M631</f>
        <v>1600</v>
      </c>
      <c r="O631" s="1"/>
      <c r="Q631" s="1">
        <f>N631+P631</f>
        <v>1600</v>
      </c>
      <c r="T631" s="1">
        <f t="shared" si="409"/>
        <v>1600</v>
      </c>
      <c r="U631" s="1">
        <f t="shared" si="409"/>
        <v>1600</v>
      </c>
      <c r="V631" s="1">
        <f>U631-T631</f>
        <v>0</v>
      </c>
      <c r="W631" s="1">
        <f>T631+V631</f>
        <v>1600</v>
      </c>
      <c r="X631" s="1">
        <v>1500</v>
      </c>
      <c r="Y631" s="41">
        <f t="shared" si="400"/>
        <v>-100</v>
      </c>
      <c r="Z631" s="1">
        <f t="shared" si="401"/>
        <v>1500</v>
      </c>
      <c r="AA631" s="1">
        <v>2000</v>
      </c>
      <c r="AB631" s="41">
        <f t="shared" si="374"/>
        <v>500</v>
      </c>
      <c r="AC631" s="1">
        <f t="shared" si="375"/>
        <v>2000</v>
      </c>
      <c r="AD631" s="41">
        <v>2000</v>
      </c>
      <c r="AE631" s="1">
        <f t="shared" si="368"/>
        <v>0</v>
      </c>
      <c r="AF631" s="1">
        <f t="shared" si="369"/>
        <v>2000</v>
      </c>
    </row>
    <row r="632" spans="1:32">
      <c r="A632" s="11">
        <v>33400</v>
      </c>
      <c r="B632" s="11">
        <v>22699</v>
      </c>
      <c r="C632" s="42" t="s">
        <v>256</v>
      </c>
      <c r="D632" s="7">
        <v>40000</v>
      </c>
      <c r="E632" s="7"/>
      <c r="F632" s="7">
        <f t="shared" ref="F632" si="410">D632-E632</f>
        <v>40000</v>
      </c>
      <c r="G632" s="7"/>
      <c r="H632" s="7">
        <f t="shared" ref="H632" si="411">D632+G632</f>
        <v>40000</v>
      </c>
      <c r="I632" s="1"/>
      <c r="J632" s="1">
        <f t="shared" ref="J632" si="412">H632-I632</f>
        <v>40000</v>
      </c>
      <c r="K632" s="1"/>
      <c r="L632" s="1">
        <f t="shared" ref="L632" si="413">H632+K632</f>
        <v>40000</v>
      </c>
      <c r="N632" s="1">
        <f t="shared" ref="N632" si="414">L632+M632</f>
        <v>40000</v>
      </c>
      <c r="O632" s="1"/>
      <c r="P632" s="1">
        <v>-30000</v>
      </c>
      <c r="Q632" s="1">
        <f t="shared" ref="Q632" si="415">N632+P632</f>
        <v>10000</v>
      </c>
      <c r="T632" s="1">
        <f t="shared" si="409"/>
        <v>10000</v>
      </c>
      <c r="U632" s="1">
        <f t="shared" si="409"/>
        <v>10000</v>
      </c>
      <c r="V632" s="1">
        <f t="shared" ref="V632" si="416">U632-T632</f>
        <v>0</v>
      </c>
      <c r="W632" s="1">
        <f t="shared" ref="W632" si="417">T632+V632</f>
        <v>10000</v>
      </c>
      <c r="X632" s="1">
        <v>10000</v>
      </c>
      <c r="Y632" s="41">
        <f t="shared" si="400"/>
        <v>0</v>
      </c>
      <c r="Z632" s="1">
        <f t="shared" si="401"/>
        <v>10000</v>
      </c>
      <c r="AA632" s="1">
        <v>10000</v>
      </c>
      <c r="AB632" s="1">
        <f t="shared" si="374"/>
        <v>0</v>
      </c>
      <c r="AC632" s="1">
        <f t="shared" si="375"/>
        <v>10000</v>
      </c>
      <c r="AD632" s="41">
        <f>17000+20000+1400</f>
        <v>38400</v>
      </c>
      <c r="AE632" s="1">
        <f t="shared" si="368"/>
        <v>28400</v>
      </c>
      <c r="AF632" s="1">
        <f t="shared" si="369"/>
        <v>38400</v>
      </c>
    </row>
    <row r="633" spans="1:32">
      <c r="A633" s="11">
        <v>33600</v>
      </c>
      <c r="B633" s="11">
        <v>22699</v>
      </c>
      <c r="C633" s="52" t="s">
        <v>790</v>
      </c>
      <c r="D633" s="7"/>
      <c r="E633" s="7"/>
      <c r="F633" s="7"/>
      <c r="G633" s="7"/>
      <c r="H633" s="7"/>
      <c r="I633" s="1"/>
      <c r="J633" s="1"/>
      <c r="K633" s="1"/>
      <c r="L633" s="1"/>
      <c r="N633" s="1">
        <v>0</v>
      </c>
      <c r="O633" s="1"/>
      <c r="P633" s="1">
        <v>25000</v>
      </c>
      <c r="Q633" s="1">
        <f>N633+P633</f>
        <v>25000</v>
      </c>
      <c r="S633" s="1">
        <f>-25000+13000</f>
        <v>-12000</v>
      </c>
      <c r="T633" s="1">
        <f t="shared" si="409"/>
        <v>13000</v>
      </c>
      <c r="U633" s="1">
        <f t="shared" si="409"/>
        <v>13000</v>
      </c>
      <c r="V633" s="1">
        <f>U633-T633</f>
        <v>0</v>
      </c>
      <c r="W633" s="1">
        <f>T633+V633</f>
        <v>13000</v>
      </c>
      <c r="X633" s="1">
        <v>13000</v>
      </c>
      <c r="Y633" s="41">
        <f t="shared" si="400"/>
        <v>0</v>
      </c>
      <c r="Z633" s="1">
        <f t="shared" si="401"/>
        <v>13000</v>
      </c>
      <c r="AA633" s="1">
        <v>13000</v>
      </c>
      <c r="AB633" s="1">
        <f t="shared" si="374"/>
        <v>0</v>
      </c>
      <c r="AC633" s="1">
        <f t="shared" si="375"/>
        <v>13000</v>
      </c>
      <c r="AD633" s="41">
        <v>20000</v>
      </c>
      <c r="AE633" s="1">
        <f t="shared" si="368"/>
        <v>7000</v>
      </c>
      <c r="AF633" s="1">
        <f t="shared" si="369"/>
        <v>20000</v>
      </c>
    </row>
    <row r="634" spans="1:32">
      <c r="A634" s="11">
        <v>33700</v>
      </c>
      <c r="B634" s="11">
        <v>22699</v>
      </c>
      <c r="C634" s="11" t="s">
        <v>256</v>
      </c>
      <c r="D634" s="7">
        <v>3000</v>
      </c>
      <c r="E634" s="7"/>
      <c r="F634" s="7">
        <f>D634-E634</f>
        <v>3000</v>
      </c>
      <c r="G634" s="7"/>
      <c r="H634" s="7">
        <f>D634+G634</f>
        <v>3000</v>
      </c>
      <c r="I634" s="1"/>
      <c r="J634" s="1">
        <f>H634-I634</f>
        <v>3000</v>
      </c>
      <c r="K634" s="1"/>
      <c r="L634" s="1">
        <f>H634+K634</f>
        <v>3000</v>
      </c>
      <c r="N634" s="1">
        <f>L634+M634</f>
        <v>3000</v>
      </c>
      <c r="O634" s="1"/>
      <c r="Q634" s="1">
        <f>N634+P634</f>
        <v>3000</v>
      </c>
      <c r="T634" s="1">
        <f>Q634+S634</f>
        <v>3000</v>
      </c>
      <c r="U634" s="1">
        <v>15000</v>
      </c>
      <c r="V634" s="1">
        <f>U634-T634</f>
        <v>12000</v>
      </c>
      <c r="W634" s="1">
        <f>T634+V634</f>
        <v>15000</v>
      </c>
      <c r="X634" s="1">
        <v>19000</v>
      </c>
      <c r="Y634" s="41">
        <f t="shared" si="400"/>
        <v>4000</v>
      </c>
      <c r="Z634" s="1">
        <f t="shared" si="401"/>
        <v>19000</v>
      </c>
      <c r="AA634" s="1">
        <v>19000</v>
      </c>
      <c r="AB634" s="1">
        <f t="shared" si="374"/>
        <v>0</v>
      </c>
      <c r="AC634" s="1">
        <f t="shared" si="375"/>
        <v>19000</v>
      </c>
      <c r="AD634" s="41">
        <v>4000</v>
      </c>
      <c r="AE634" s="1">
        <f t="shared" si="368"/>
        <v>-15000</v>
      </c>
      <c r="AF634" s="1">
        <f t="shared" si="369"/>
        <v>4000</v>
      </c>
    </row>
    <row r="635" spans="1:32">
      <c r="A635" s="11">
        <v>33710</v>
      </c>
      <c r="B635" s="11">
        <v>22699</v>
      </c>
      <c r="C635" s="11" t="s">
        <v>85</v>
      </c>
      <c r="D635" s="7"/>
      <c r="E635" s="7"/>
      <c r="F635" s="7"/>
      <c r="G635" s="7"/>
      <c r="H635" s="7"/>
      <c r="I635" s="7"/>
      <c r="J635" s="7"/>
      <c r="K635" s="7"/>
      <c r="L635" s="7"/>
      <c r="N635" s="7"/>
      <c r="O635" s="7"/>
      <c r="T635" s="1"/>
      <c r="V635" s="1"/>
      <c r="W635" s="1"/>
      <c r="Y635" s="41"/>
      <c r="Z635" s="1"/>
      <c r="AB635" s="1"/>
      <c r="AC635" s="1">
        <v>0</v>
      </c>
      <c r="AD635" s="41">
        <v>2000</v>
      </c>
      <c r="AE635" s="1">
        <f t="shared" si="368"/>
        <v>2000</v>
      </c>
      <c r="AF635" s="1">
        <f t="shared" si="369"/>
        <v>2000</v>
      </c>
    </row>
    <row r="636" spans="1:32">
      <c r="A636" s="13">
        <v>33800</v>
      </c>
      <c r="B636" s="11">
        <v>22699</v>
      </c>
      <c r="C636" s="42" t="s">
        <v>710</v>
      </c>
      <c r="D636" s="7">
        <v>464000</v>
      </c>
      <c r="E636" s="7">
        <v>440000</v>
      </c>
      <c r="F636" s="7">
        <f t="shared" ref="F636:F641" si="418">D636-E636</f>
        <v>24000</v>
      </c>
      <c r="G636" s="7">
        <v>-24000</v>
      </c>
      <c r="H636" s="7">
        <f t="shared" ref="H636:H641" si="419">D636+G636</f>
        <v>440000</v>
      </c>
      <c r="I636" s="1"/>
      <c r="J636" s="1">
        <f t="shared" ref="J636:J641" si="420">H636-I636</f>
        <v>440000</v>
      </c>
      <c r="K636" s="1"/>
      <c r="L636" s="1">
        <f>H636+K636</f>
        <v>440000</v>
      </c>
      <c r="M636" s="10">
        <v>-20000</v>
      </c>
      <c r="N636" s="1">
        <f t="shared" ref="N636:N641" si="421">L636+M636</f>
        <v>420000</v>
      </c>
      <c r="O636" s="1"/>
      <c r="Q636" s="1">
        <f t="shared" ref="Q636:Q641" si="422">N636+P636</f>
        <v>420000</v>
      </c>
      <c r="T636" s="1">
        <f t="shared" ref="T636:T641" si="423">Q636+S636</f>
        <v>420000</v>
      </c>
      <c r="U636" s="1">
        <v>400000</v>
      </c>
      <c r="V636" s="1">
        <f t="shared" ref="V636:V641" si="424">U636-T636</f>
        <v>-20000</v>
      </c>
      <c r="W636" s="1">
        <f t="shared" ref="W636:W641" si="425">T636+V636</f>
        <v>400000</v>
      </c>
      <c r="X636" s="1">
        <v>400000</v>
      </c>
      <c r="Y636" s="41">
        <f t="shared" ref="Y636:Y641" si="426">X636-W636</f>
        <v>0</v>
      </c>
      <c r="Z636" s="1">
        <f t="shared" ref="Z636:Z641" si="427">W636+Y636</f>
        <v>400000</v>
      </c>
      <c r="AA636" s="1">
        <v>400000</v>
      </c>
      <c r="AB636" s="1">
        <f t="shared" ref="AB636:AB661" si="428">AA636-Z636</f>
        <v>0</v>
      </c>
      <c r="AC636" s="1">
        <f t="shared" ref="AC636:AC661" si="429">Z636+AB636</f>
        <v>400000</v>
      </c>
      <c r="AD636" s="41">
        <v>420000</v>
      </c>
      <c r="AE636" s="1">
        <f t="shared" si="368"/>
        <v>20000</v>
      </c>
      <c r="AF636" s="1">
        <f t="shared" si="369"/>
        <v>420000</v>
      </c>
    </row>
    <row r="637" spans="1:32">
      <c r="A637" s="11">
        <v>34000</v>
      </c>
      <c r="B637" s="11">
        <v>22699</v>
      </c>
      <c r="C637" s="11" t="s">
        <v>256</v>
      </c>
      <c r="D637" s="7">
        <v>20000</v>
      </c>
      <c r="E637" s="7"/>
      <c r="F637" s="7">
        <f t="shared" si="418"/>
        <v>20000</v>
      </c>
      <c r="G637" s="7">
        <v>-1000</v>
      </c>
      <c r="H637" s="7">
        <f t="shared" si="419"/>
        <v>19000</v>
      </c>
      <c r="I637" s="1"/>
      <c r="J637" s="1">
        <f t="shared" si="420"/>
        <v>19000</v>
      </c>
      <c r="K637" s="1"/>
      <c r="L637" s="1">
        <f>H637+K637</f>
        <v>19000</v>
      </c>
      <c r="M637" s="8"/>
      <c r="N637" s="1">
        <f t="shared" si="421"/>
        <v>19000</v>
      </c>
      <c r="O637" s="1"/>
      <c r="Q637" s="1">
        <f t="shared" si="422"/>
        <v>19000</v>
      </c>
      <c r="T637" s="1">
        <f t="shared" si="423"/>
        <v>19000</v>
      </c>
      <c r="U637" s="1">
        <f>R637+T637</f>
        <v>19000</v>
      </c>
      <c r="V637" s="1">
        <f t="shared" si="424"/>
        <v>0</v>
      </c>
      <c r="W637" s="1">
        <f t="shared" si="425"/>
        <v>19000</v>
      </c>
      <c r="X637" s="1">
        <v>19000</v>
      </c>
      <c r="Y637" s="41">
        <f t="shared" si="426"/>
        <v>0</v>
      </c>
      <c r="Z637" s="1">
        <f t="shared" si="427"/>
        <v>19000</v>
      </c>
      <c r="AA637" s="1">
        <v>25000</v>
      </c>
      <c r="AB637" s="1">
        <f t="shared" si="428"/>
        <v>6000</v>
      </c>
      <c r="AC637" s="1">
        <f t="shared" si="429"/>
        <v>25000</v>
      </c>
      <c r="AD637" s="41">
        <f>25000+17000</f>
        <v>42000</v>
      </c>
      <c r="AE637" s="1">
        <f t="shared" si="368"/>
        <v>17000</v>
      </c>
      <c r="AF637" s="1">
        <f t="shared" si="369"/>
        <v>42000</v>
      </c>
    </row>
    <row r="638" spans="1:32">
      <c r="A638" s="11">
        <v>41000</v>
      </c>
      <c r="B638" s="11">
        <v>22699</v>
      </c>
      <c r="C638" s="11" t="s">
        <v>256</v>
      </c>
      <c r="D638" s="7">
        <v>800</v>
      </c>
      <c r="E638" s="7"/>
      <c r="F638" s="7">
        <f t="shared" si="418"/>
        <v>800</v>
      </c>
      <c r="G638" s="7"/>
      <c r="H638" s="7">
        <f t="shared" si="419"/>
        <v>800</v>
      </c>
      <c r="I638" s="1"/>
      <c r="J638" s="1">
        <f t="shared" si="420"/>
        <v>800</v>
      </c>
      <c r="K638" s="1"/>
      <c r="L638" s="1">
        <f>H638+K638</f>
        <v>800</v>
      </c>
      <c r="N638" s="1">
        <f t="shared" si="421"/>
        <v>800</v>
      </c>
      <c r="O638" s="1"/>
      <c r="Q638" s="1">
        <f t="shared" si="422"/>
        <v>800</v>
      </c>
      <c r="T638" s="1">
        <f t="shared" si="423"/>
        <v>800</v>
      </c>
      <c r="U638" s="1">
        <v>10000</v>
      </c>
      <c r="V638" s="1">
        <f t="shared" si="424"/>
        <v>9200</v>
      </c>
      <c r="W638" s="1">
        <f t="shared" si="425"/>
        <v>10000</v>
      </c>
      <c r="X638" s="1">
        <v>20000</v>
      </c>
      <c r="Y638" s="41">
        <f t="shared" si="426"/>
        <v>10000</v>
      </c>
      <c r="Z638" s="1">
        <f t="shared" si="427"/>
        <v>20000</v>
      </c>
      <c r="AA638" s="1">
        <v>35000</v>
      </c>
      <c r="AB638" s="1">
        <f t="shared" si="428"/>
        <v>15000</v>
      </c>
      <c r="AC638" s="1">
        <f t="shared" si="429"/>
        <v>35000</v>
      </c>
      <c r="AD638" s="41">
        <v>35000</v>
      </c>
      <c r="AE638" s="1">
        <f t="shared" si="368"/>
        <v>0</v>
      </c>
      <c r="AF638" s="1">
        <f t="shared" si="369"/>
        <v>35000</v>
      </c>
    </row>
    <row r="639" spans="1:32">
      <c r="A639" s="11">
        <v>43000</v>
      </c>
      <c r="B639" s="11">
        <v>22699</v>
      </c>
      <c r="C639" s="11" t="s">
        <v>507</v>
      </c>
      <c r="D639" s="7">
        <v>12375</v>
      </c>
      <c r="E639" s="7"/>
      <c r="F639" s="7">
        <f t="shared" si="418"/>
        <v>12375</v>
      </c>
      <c r="G639" s="7"/>
      <c r="H639" s="7">
        <f t="shared" si="419"/>
        <v>12375</v>
      </c>
      <c r="I639" s="1"/>
      <c r="J639" s="1">
        <f t="shared" si="420"/>
        <v>12375</v>
      </c>
      <c r="K639" s="1"/>
      <c r="L639" s="1">
        <f>H639+K639</f>
        <v>12375</v>
      </c>
      <c r="M639" s="8"/>
      <c r="N639" s="1">
        <f t="shared" si="421"/>
        <v>12375</v>
      </c>
      <c r="O639" s="1"/>
      <c r="Q639" s="1">
        <f t="shared" si="422"/>
        <v>12375</v>
      </c>
      <c r="T639" s="1">
        <f t="shared" si="423"/>
        <v>12375</v>
      </c>
      <c r="U639" s="1">
        <f>R639+T639</f>
        <v>12375</v>
      </c>
      <c r="V639" s="1">
        <f t="shared" si="424"/>
        <v>0</v>
      </c>
      <c r="W639" s="1">
        <f t="shared" si="425"/>
        <v>12375</v>
      </c>
      <c r="X639" s="1">
        <v>12375</v>
      </c>
      <c r="Y639" s="41">
        <f t="shared" si="426"/>
        <v>0</v>
      </c>
      <c r="Z639" s="1">
        <f t="shared" si="427"/>
        <v>12375</v>
      </c>
      <c r="AA639" s="1">
        <v>2000</v>
      </c>
      <c r="AB639" s="41">
        <f t="shared" si="428"/>
        <v>-10375</v>
      </c>
      <c r="AC639" s="1">
        <f t="shared" si="429"/>
        <v>2000</v>
      </c>
      <c r="AD639" s="41">
        <v>8000</v>
      </c>
      <c r="AE639" s="1">
        <f t="shared" si="368"/>
        <v>6000</v>
      </c>
      <c r="AF639" s="1">
        <f t="shared" si="369"/>
        <v>8000</v>
      </c>
    </row>
    <row r="640" spans="1:32">
      <c r="A640" s="11">
        <v>43120</v>
      </c>
      <c r="B640" s="11">
        <v>22699</v>
      </c>
      <c r="C640" s="11" t="s">
        <v>256</v>
      </c>
      <c r="D640" s="7">
        <v>1502.53</v>
      </c>
      <c r="E640" s="8"/>
      <c r="F640" s="7">
        <f t="shared" si="418"/>
        <v>1502.53</v>
      </c>
      <c r="G640" s="10">
        <v>-502.53</v>
      </c>
      <c r="H640" s="7">
        <f t="shared" si="419"/>
        <v>1000</v>
      </c>
      <c r="I640" s="8"/>
      <c r="J640" s="7">
        <f t="shared" si="420"/>
        <v>1000</v>
      </c>
      <c r="K640" s="8"/>
      <c r="L640" s="7">
        <v>1000</v>
      </c>
      <c r="M640" s="10">
        <v>0</v>
      </c>
      <c r="N640" s="7">
        <f t="shared" si="421"/>
        <v>1000</v>
      </c>
      <c r="O640" s="7"/>
      <c r="Q640" s="1">
        <f t="shared" si="422"/>
        <v>1000</v>
      </c>
      <c r="T640" s="1">
        <f t="shared" si="423"/>
        <v>1000</v>
      </c>
      <c r="U640" s="1">
        <v>10000</v>
      </c>
      <c r="V640" s="1">
        <f t="shared" si="424"/>
        <v>9000</v>
      </c>
      <c r="W640" s="1">
        <f t="shared" si="425"/>
        <v>10000</v>
      </c>
      <c r="X640" s="1">
        <v>10000</v>
      </c>
      <c r="Y640" s="41">
        <f t="shared" si="426"/>
        <v>0</v>
      </c>
      <c r="Z640" s="1">
        <f t="shared" si="427"/>
        <v>10000</v>
      </c>
      <c r="AA640" s="1">
        <v>10000</v>
      </c>
      <c r="AB640" s="41">
        <f t="shared" si="428"/>
        <v>0</v>
      </c>
      <c r="AC640" s="1">
        <f t="shared" si="429"/>
        <v>10000</v>
      </c>
      <c r="AD640" s="41">
        <v>10000</v>
      </c>
      <c r="AE640" s="1">
        <f t="shared" si="368"/>
        <v>0</v>
      </c>
      <c r="AF640" s="1">
        <f t="shared" si="369"/>
        <v>10000</v>
      </c>
    </row>
    <row r="641" spans="1:32">
      <c r="A641" s="13">
        <v>43200</v>
      </c>
      <c r="B641" s="11">
        <v>22699</v>
      </c>
      <c r="C641" s="11" t="s">
        <v>256</v>
      </c>
      <c r="D641" s="7">
        <v>40080.97</v>
      </c>
      <c r="E641" s="7"/>
      <c r="F641" s="7">
        <f t="shared" si="418"/>
        <v>40080.97</v>
      </c>
      <c r="G641" s="7">
        <v>-2080.9699999999998</v>
      </c>
      <c r="H641" s="7">
        <f t="shared" si="419"/>
        <v>38000</v>
      </c>
      <c r="I641" s="1"/>
      <c r="J641" s="1">
        <f t="shared" si="420"/>
        <v>38000</v>
      </c>
      <c r="K641" s="1"/>
      <c r="L641" s="1">
        <f>H641+K641</f>
        <v>38000</v>
      </c>
      <c r="N641" s="1">
        <f t="shared" si="421"/>
        <v>38000</v>
      </c>
      <c r="O641" s="1"/>
      <c r="P641" s="1">
        <v>42000</v>
      </c>
      <c r="Q641" s="1">
        <f t="shared" si="422"/>
        <v>80000</v>
      </c>
      <c r="T641" s="1">
        <f t="shared" si="423"/>
        <v>80000</v>
      </c>
      <c r="U641" s="1">
        <f>R641+T641</f>
        <v>80000</v>
      </c>
      <c r="V641" s="1">
        <f t="shared" si="424"/>
        <v>0</v>
      </c>
      <c r="W641" s="1">
        <f t="shared" si="425"/>
        <v>80000</v>
      </c>
      <c r="X641" s="1">
        <v>80000</v>
      </c>
      <c r="Y641" s="41">
        <f t="shared" si="426"/>
        <v>0</v>
      </c>
      <c r="Z641" s="1">
        <f t="shared" si="427"/>
        <v>80000</v>
      </c>
      <c r="AA641" s="41">
        <f>80000+10000</f>
        <v>90000</v>
      </c>
      <c r="AB641" s="41">
        <f t="shared" si="428"/>
        <v>10000</v>
      </c>
      <c r="AC641" s="1">
        <f t="shared" si="429"/>
        <v>90000</v>
      </c>
      <c r="AD641" s="41">
        <f>100000+54233-540</f>
        <v>153693</v>
      </c>
      <c r="AE641" s="1">
        <f t="shared" si="368"/>
        <v>63693</v>
      </c>
      <c r="AF641" s="1">
        <f t="shared" si="369"/>
        <v>153693</v>
      </c>
    </row>
    <row r="642" spans="1:32">
      <c r="A642" s="42">
        <v>43210</v>
      </c>
      <c r="B642" s="11">
        <v>22699</v>
      </c>
      <c r="C642" s="42" t="s">
        <v>256</v>
      </c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3"/>
      <c r="S642" s="8"/>
      <c r="T642" s="8"/>
      <c r="U642" s="8"/>
      <c r="V642" s="8"/>
      <c r="W642" s="8"/>
      <c r="X642" s="8"/>
      <c r="Y642" s="8"/>
      <c r="Z642" s="47">
        <v>0</v>
      </c>
      <c r="AA642" s="47">
        <v>1000</v>
      </c>
      <c r="AB642" s="41">
        <f t="shared" si="428"/>
        <v>1000</v>
      </c>
      <c r="AC642" s="1">
        <f t="shared" si="429"/>
        <v>1000</v>
      </c>
      <c r="AD642" s="41">
        <v>15000</v>
      </c>
      <c r="AE642" s="1">
        <f t="shared" si="368"/>
        <v>14000</v>
      </c>
      <c r="AF642" s="1">
        <f t="shared" si="369"/>
        <v>15000</v>
      </c>
    </row>
    <row r="643" spans="1:32">
      <c r="A643" s="13">
        <v>43900</v>
      </c>
      <c r="B643" s="11">
        <v>22699</v>
      </c>
      <c r="C643" s="42" t="s">
        <v>256</v>
      </c>
      <c r="D643" s="7">
        <v>0</v>
      </c>
      <c r="E643" s="7">
        <v>24910.52</v>
      </c>
      <c r="F643" s="7">
        <f>D643-E643</f>
        <v>-24910.52</v>
      </c>
      <c r="G643" s="7">
        <v>24910.52</v>
      </c>
      <c r="H643" s="7">
        <f>D643+G643</f>
        <v>24910.52</v>
      </c>
      <c r="I643" s="1">
        <v>0</v>
      </c>
      <c r="J643" s="1">
        <f>H643-I643</f>
        <v>24910.52</v>
      </c>
      <c r="K643" s="1">
        <v>-24910.52</v>
      </c>
      <c r="L643" s="1">
        <f>H643+K643</f>
        <v>0</v>
      </c>
      <c r="M643" s="7">
        <f>9884.84</f>
        <v>9884.84</v>
      </c>
      <c r="N643" s="1">
        <f>L643+M643</f>
        <v>9884.84</v>
      </c>
      <c r="O643" s="1">
        <v>9884.84</v>
      </c>
      <c r="P643" s="1">
        <f>O643-N643</f>
        <v>0</v>
      </c>
      <c r="Q643" s="1">
        <f>N643+P643</f>
        <v>9884.84</v>
      </c>
      <c r="R643" s="41">
        <v>9884.84</v>
      </c>
      <c r="S643" s="1">
        <f>R643-Q643</f>
        <v>0</v>
      </c>
      <c r="T643" s="1">
        <f>Q643+S643</f>
        <v>9884.84</v>
      </c>
      <c r="U643" s="41">
        <v>0</v>
      </c>
      <c r="V643" s="1">
        <f t="shared" ref="V643:V649" si="430">U643-T643</f>
        <v>-9884.84</v>
      </c>
      <c r="W643" s="1">
        <f t="shared" ref="W643:W649" si="431">T643+V643</f>
        <v>0</v>
      </c>
      <c r="X643" s="41">
        <v>928.72</v>
      </c>
      <c r="Y643" s="41">
        <f t="shared" ref="Y643:Y651" si="432">X643-W643</f>
        <v>928.72</v>
      </c>
      <c r="Z643" s="47">
        <v>35000</v>
      </c>
      <c r="AA643" s="41">
        <v>50000</v>
      </c>
      <c r="AB643" s="41">
        <f t="shared" si="428"/>
        <v>15000</v>
      </c>
      <c r="AC643" s="1">
        <f t="shared" si="429"/>
        <v>50000</v>
      </c>
      <c r="AD643" s="41">
        <v>20000</v>
      </c>
      <c r="AE643" s="1">
        <f t="shared" si="368"/>
        <v>-30000</v>
      </c>
      <c r="AF643" s="1">
        <f t="shared" si="369"/>
        <v>20000</v>
      </c>
    </row>
    <row r="644" spans="1:32">
      <c r="A644" s="11">
        <v>45900</v>
      </c>
      <c r="B644" s="11">
        <v>22699</v>
      </c>
      <c r="C644" s="11" t="s">
        <v>256</v>
      </c>
      <c r="D644" s="7">
        <v>1600</v>
      </c>
      <c r="E644" s="7"/>
      <c r="F644" s="7">
        <f>D644-E644</f>
        <v>1600</v>
      </c>
      <c r="G644" s="7"/>
      <c r="H644" s="7">
        <f>D644+G644</f>
        <v>1600</v>
      </c>
      <c r="I644" s="1"/>
      <c r="J644" s="1">
        <f>H644-I644</f>
        <v>1600</v>
      </c>
      <c r="K644" s="1"/>
      <c r="L644" s="1">
        <f>H644+K644</f>
        <v>1600</v>
      </c>
      <c r="N644" s="1">
        <f>L644+M644</f>
        <v>1600</v>
      </c>
      <c r="O644" s="1"/>
      <c r="Q644" s="1">
        <f>N644+P644</f>
        <v>1600</v>
      </c>
      <c r="T644" s="1">
        <f>Q644+S644</f>
        <v>1600</v>
      </c>
      <c r="U644" s="1">
        <v>60000</v>
      </c>
      <c r="V644" s="1">
        <f t="shared" si="430"/>
        <v>58400</v>
      </c>
      <c r="W644" s="1">
        <f t="shared" si="431"/>
        <v>60000</v>
      </c>
      <c r="X644" s="1">
        <v>80000</v>
      </c>
      <c r="Y644" s="41">
        <f t="shared" si="432"/>
        <v>20000</v>
      </c>
      <c r="Z644" s="1">
        <f t="shared" ref="Z644:Z651" si="433">W644+Y644</f>
        <v>80000</v>
      </c>
      <c r="AA644" s="1">
        <v>70000</v>
      </c>
      <c r="AB644" s="1">
        <f t="shared" si="428"/>
        <v>-10000</v>
      </c>
      <c r="AC644" s="1">
        <f t="shared" si="429"/>
        <v>70000</v>
      </c>
      <c r="AD644" s="41">
        <v>70000</v>
      </c>
      <c r="AE644" s="1">
        <f t="shared" si="368"/>
        <v>0</v>
      </c>
      <c r="AF644" s="1">
        <f t="shared" si="369"/>
        <v>70000</v>
      </c>
    </row>
    <row r="645" spans="1:32">
      <c r="A645" s="11">
        <v>91200</v>
      </c>
      <c r="B645" s="11">
        <v>22699</v>
      </c>
      <c r="C645" s="39" t="s">
        <v>256</v>
      </c>
      <c r="D645" s="7"/>
      <c r="E645" s="7"/>
      <c r="F645" s="7"/>
      <c r="G645" s="7"/>
      <c r="H645" s="7"/>
      <c r="I645" s="1"/>
      <c r="J645" s="1"/>
      <c r="K645" s="1"/>
      <c r="L645" s="1"/>
      <c r="N645" s="1"/>
      <c r="O645" s="1"/>
      <c r="T645" s="1">
        <v>0</v>
      </c>
      <c r="U645" s="1">
        <v>10000</v>
      </c>
      <c r="V645" s="1">
        <f t="shared" si="430"/>
        <v>10000</v>
      </c>
      <c r="W645" s="1">
        <f t="shared" si="431"/>
        <v>10000</v>
      </c>
      <c r="X645" s="1">
        <v>30000</v>
      </c>
      <c r="Y645" s="41">
        <f t="shared" si="432"/>
        <v>20000</v>
      </c>
      <c r="Z645" s="1">
        <f t="shared" si="433"/>
        <v>30000</v>
      </c>
      <c r="AA645" s="41">
        <v>30000</v>
      </c>
      <c r="AB645" s="1">
        <f t="shared" si="428"/>
        <v>0</v>
      </c>
      <c r="AC645" s="1">
        <f t="shared" si="429"/>
        <v>30000</v>
      </c>
      <c r="AD645" s="41">
        <v>40000</v>
      </c>
      <c r="AE645" s="1">
        <f t="shared" si="368"/>
        <v>10000</v>
      </c>
      <c r="AF645" s="1">
        <f t="shared" si="369"/>
        <v>40000</v>
      </c>
    </row>
    <row r="646" spans="1:32">
      <c r="A646" s="11">
        <v>91210</v>
      </c>
      <c r="B646" s="11">
        <v>22699</v>
      </c>
      <c r="C646" s="42" t="s">
        <v>711</v>
      </c>
      <c r="D646" s="7">
        <v>20000</v>
      </c>
      <c r="E646" s="7"/>
      <c r="F646" s="7">
        <f>D646-E646</f>
        <v>20000</v>
      </c>
      <c r="G646" s="7">
        <v>-3000</v>
      </c>
      <c r="H646" s="7">
        <f>D646+G646</f>
        <v>17000</v>
      </c>
      <c r="I646" s="8"/>
      <c r="J646" s="7">
        <f>H646-I646</f>
        <v>17000</v>
      </c>
      <c r="K646" s="8"/>
      <c r="L646" s="7">
        <v>17000</v>
      </c>
      <c r="M646" s="7">
        <v>-7000</v>
      </c>
      <c r="N646" s="7">
        <f>L646+M646</f>
        <v>10000</v>
      </c>
      <c r="O646" s="7"/>
      <c r="Q646" s="1">
        <f>N646+P646</f>
        <v>10000</v>
      </c>
      <c r="S646" s="1">
        <v>5000</v>
      </c>
      <c r="T646" s="1">
        <f t="shared" ref="T646:U649" si="434">Q646+S646</f>
        <v>15000</v>
      </c>
      <c r="U646" s="1">
        <f t="shared" si="434"/>
        <v>15000</v>
      </c>
      <c r="V646" s="1">
        <f t="shared" si="430"/>
        <v>0</v>
      </c>
      <c r="W646" s="1">
        <f t="shared" si="431"/>
        <v>15000</v>
      </c>
      <c r="X646" s="1">
        <v>10000</v>
      </c>
      <c r="Y646" s="41">
        <f t="shared" si="432"/>
        <v>-5000</v>
      </c>
      <c r="Z646" s="1">
        <f t="shared" si="433"/>
        <v>10000</v>
      </c>
      <c r="AA646" s="1">
        <v>10000</v>
      </c>
      <c r="AB646" s="1">
        <f t="shared" si="428"/>
        <v>0</v>
      </c>
      <c r="AC646" s="1">
        <f t="shared" si="429"/>
        <v>10000</v>
      </c>
      <c r="AD646" s="41">
        <v>5000</v>
      </c>
      <c r="AE646" s="1">
        <f t="shared" ref="AE646:AE709" si="435">AD646-AC646</f>
        <v>-5000</v>
      </c>
      <c r="AF646" s="1">
        <f t="shared" ref="AF646:AF709" si="436">AC646+AE646</f>
        <v>5000</v>
      </c>
    </row>
    <row r="647" spans="1:32">
      <c r="A647" s="11">
        <v>92000</v>
      </c>
      <c r="B647" s="11">
        <v>22699</v>
      </c>
      <c r="C647" s="11" t="s">
        <v>85</v>
      </c>
      <c r="D647" s="7">
        <v>2827.16</v>
      </c>
      <c r="E647" s="7"/>
      <c r="F647" s="7">
        <f>D647-E647</f>
        <v>2827.16</v>
      </c>
      <c r="G647" s="7"/>
      <c r="H647" s="7">
        <f>D647+G647</f>
        <v>2827.16</v>
      </c>
      <c r="I647" s="1"/>
      <c r="J647" s="1">
        <f>H647-I647</f>
        <v>2827.16</v>
      </c>
      <c r="K647" s="1"/>
      <c r="L647" s="1">
        <f>H647+K647</f>
        <v>2827.16</v>
      </c>
      <c r="N647" s="1">
        <f>L647+M647</f>
        <v>2827.16</v>
      </c>
      <c r="O647" s="1"/>
      <c r="Q647" s="1">
        <f>N647+P647</f>
        <v>2827.16</v>
      </c>
      <c r="S647" s="1">
        <v>2174.66</v>
      </c>
      <c r="T647" s="1">
        <f t="shared" si="434"/>
        <v>5001.82</v>
      </c>
      <c r="U647" s="1">
        <f t="shared" si="434"/>
        <v>5001.82</v>
      </c>
      <c r="V647" s="1">
        <f t="shared" si="430"/>
        <v>0</v>
      </c>
      <c r="W647" s="1">
        <f t="shared" si="431"/>
        <v>5001.82</v>
      </c>
      <c r="X647" s="1">
        <f>20000</f>
        <v>20000</v>
      </c>
      <c r="Y647" s="41">
        <f t="shared" si="432"/>
        <v>14998.18</v>
      </c>
      <c r="Z647" s="1">
        <f t="shared" si="433"/>
        <v>20000</v>
      </c>
      <c r="AA647" s="1">
        <f>50000+20000</f>
        <v>70000</v>
      </c>
      <c r="AB647" s="1">
        <f t="shared" si="428"/>
        <v>50000</v>
      </c>
      <c r="AC647" s="1">
        <f t="shared" si="429"/>
        <v>70000</v>
      </c>
      <c r="AD647" s="41">
        <v>70000</v>
      </c>
      <c r="AE647" s="1">
        <f t="shared" si="435"/>
        <v>0</v>
      </c>
      <c r="AF647" s="1">
        <f t="shared" si="436"/>
        <v>70000</v>
      </c>
    </row>
    <row r="648" spans="1:32">
      <c r="A648" s="11">
        <v>92010</v>
      </c>
      <c r="B648" s="11">
        <v>22699</v>
      </c>
      <c r="C648" s="11" t="s">
        <v>283</v>
      </c>
      <c r="D648" s="7">
        <v>35000</v>
      </c>
      <c r="E648" s="7"/>
      <c r="F648" s="7">
        <f>D648-E648</f>
        <v>35000</v>
      </c>
      <c r="G648" s="7">
        <v>-5000</v>
      </c>
      <c r="H648" s="7">
        <f>D648+G648</f>
        <v>30000</v>
      </c>
      <c r="I648" s="7"/>
      <c r="J648" s="7">
        <f>H648-I648</f>
        <v>30000</v>
      </c>
      <c r="K648" s="7"/>
      <c r="L648" s="7">
        <v>30000</v>
      </c>
      <c r="M648" s="7">
        <v>-5000</v>
      </c>
      <c r="N648" s="7">
        <f>L648+M648</f>
        <v>25000</v>
      </c>
      <c r="O648" s="7"/>
      <c r="Q648" s="1">
        <f>N648+P648</f>
        <v>25000</v>
      </c>
      <c r="T648" s="1">
        <f t="shared" si="434"/>
        <v>25000</v>
      </c>
      <c r="U648" s="1">
        <f t="shared" si="434"/>
        <v>25000</v>
      </c>
      <c r="V648" s="1">
        <f t="shared" si="430"/>
        <v>0</v>
      </c>
      <c r="W648" s="1">
        <f t="shared" si="431"/>
        <v>25000</v>
      </c>
      <c r="X648" s="1">
        <v>25000</v>
      </c>
      <c r="Y648" s="41">
        <f t="shared" si="432"/>
        <v>0</v>
      </c>
      <c r="Z648" s="1">
        <f t="shared" si="433"/>
        <v>25000</v>
      </c>
      <c r="AA648" s="1">
        <v>21500</v>
      </c>
      <c r="AB648" s="1">
        <f t="shared" si="428"/>
        <v>-3500</v>
      </c>
      <c r="AC648" s="1">
        <f t="shared" si="429"/>
        <v>21500</v>
      </c>
      <c r="AD648" s="41">
        <v>20000</v>
      </c>
      <c r="AE648" s="1">
        <f t="shared" si="435"/>
        <v>-1500</v>
      </c>
      <c r="AF648" s="1">
        <f t="shared" si="436"/>
        <v>20000</v>
      </c>
    </row>
    <row r="649" spans="1:32">
      <c r="A649" s="11">
        <v>92020</v>
      </c>
      <c r="B649" s="11">
        <v>22699</v>
      </c>
      <c r="C649" s="11" t="s">
        <v>298</v>
      </c>
      <c r="D649" s="7">
        <v>4000</v>
      </c>
      <c r="E649" s="7"/>
      <c r="F649" s="7">
        <f>D649-E649</f>
        <v>4000</v>
      </c>
      <c r="G649" s="7">
        <v>-1000</v>
      </c>
      <c r="H649" s="7">
        <f>D649+G649</f>
        <v>3000</v>
      </c>
      <c r="I649" s="7"/>
      <c r="J649" s="7">
        <f>H649-I649</f>
        <v>3000</v>
      </c>
      <c r="K649" s="7"/>
      <c r="L649" s="7">
        <v>3000</v>
      </c>
      <c r="M649" s="7">
        <v>0</v>
      </c>
      <c r="N649" s="7">
        <f>L649+M649</f>
        <v>3000</v>
      </c>
      <c r="O649" s="7"/>
      <c r="Q649" s="1">
        <f>N649+P649</f>
        <v>3000</v>
      </c>
      <c r="T649" s="1">
        <f t="shared" si="434"/>
        <v>3000</v>
      </c>
      <c r="U649" s="1">
        <f t="shared" si="434"/>
        <v>3000</v>
      </c>
      <c r="V649" s="1">
        <f t="shared" si="430"/>
        <v>0</v>
      </c>
      <c r="W649" s="1">
        <f t="shared" si="431"/>
        <v>3000</v>
      </c>
      <c r="X649" s="1">
        <v>4000</v>
      </c>
      <c r="Y649" s="41">
        <f t="shared" si="432"/>
        <v>1000</v>
      </c>
      <c r="Z649" s="1">
        <f t="shared" si="433"/>
        <v>4000</v>
      </c>
      <c r="AA649" s="1">
        <v>3000</v>
      </c>
      <c r="AB649" s="1">
        <f t="shared" si="428"/>
        <v>-1000</v>
      </c>
      <c r="AC649" s="1">
        <f t="shared" si="429"/>
        <v>3000</v>
      </c>
      <c r="AD649" s="41">
        <v>10000</v>
      </c>
      <c r="AE649" s="1">
        <f t="shared" si="435"/>
        <v>7000</v>
      </c>
      <c r="AF649" s="1">
        <f t="shared" si="436"/>
        <v>10000</v>
      </c>
    </row>
    <row r="650" spans="1:32">
      <c r="A650" s="11">
        <v>92400</v>
      </c>
      <c r="B650" s="11">
        <v>22699</v>
      </c>
      <c r="C650" s="39" t="s">
        <v>256</v>
      </c>
      <c r="D650" s="7"/>
      <c r="E650" s="7"/>
      <c r="F650" s="7"/>
      <c r="G650" s="7"/>
      <c r="H650" s="7"/>
      <c r="I650" s="1"/>
      <c r="J650" s="1"/>
      <c r="K650" s="1"/>
      <c r="L650" s="1"/>
      <c r="N650" s="1"/>
      <c r="O650" s="1"/>
      <c r="T650" s="1"/>
      <c r="V650" s="1"/>
      <c r="W650" s="1">
        <v>0</v>
      </c>
      <c r="X650" s="1">
        <v>15000</v>
      </c>
      <c r="Y650" s="41">
        <f t="shared" si="432"/>
        <v>15000</v>
      </c>
      <c r="Z650" s="1">
        <f t="shared" si="433"/>
        <v>15000</v>
      </c>
      <c r="AA650" s="1">
        <v>15000</v>
      </c>
      <c r="AB650" s="1">
        <f t="shared" si="428"/>
        <v>0</v>
      </c>
      <c r="AC650" s="1">
        <f t="shared" si="429"/>
        <v>15000</v>
      </c>
      <c r="AD650" s="41">
        <v>5000</v>
      </c>
      <c r="AE650" s="1">
        <f t="shared" si="435"/>
        <v>-10000</v>
      </c>
      <c r="AF650" s="1">
        <f t="shared" si="436"/>
        <v>5000</v>
      </c>
    </row>
    <row r="651" spans="1:32">
      <c r="A651" s="11">
        <v>92600</v>
      </c>
      <c r="B651" s="11">
        <v>22699</v>
      </c>
      <c r="C651" s="11" t="s">
        <v>292</v>
      </c>
      <c r="D651" s="7">
        <v>30000</v>
      </c>
      <c r="E651" s="7"/>
      <c r="F651" s="7">
        <f>D651-E651</f>
        <v>30000</v>
      </c>
      <c r="G651" s="7"/>
      <c r="H651" s="7">
        <f>D651+G651</f>
        <v>30000</v>
      </c>
      <c r="I651" s="7"/>
      <c r="J651" s="7">
        <f>H651-I651</f>
        <v>30000</v>
      </c>
      <c r="K651" s="7"/>
      <c r="L651" s="7">
        <v>30000</v>
      </c>
      <c r="M651" s="7">
        <v>0</v>
      </c>
      <c r="N651" s="7">
        <f>L651+M651</f>
        <v>30000</v>
      </c>
      <c r="O651" s="7"/>
      <c r="Q651" s="1">
        <f>N651+P651</f>
        <v>30000</v>
      </c>
      <c r="T651" s="1">
        <f>Q651+S651</f>
        <v>30000</v>
      </c>
      <c r="U651" s="1">
        <f>R651+T651</f>
        <v>30000</v>
      </c>
      <c r="V651" s="1">
        <f>U651-T651</f>
        <v>0</v>
      </c>
      <c r="W651" s="1">
        <f>T651+V651</f>
        <v>30000</v>
      </c>
      <c r="X651" s="1">
        <v>30000</v>
      </c>
      <c r="Y651" s="41">
        <f t="shared" si="432"/>
        <v>0</v>
      </c>
      <c r="Z651" s="1">
        <f t="shared" si="433"/>
        <v>30000</v>
      </c>
      <c r="AA651" s="1">
        <v>30000</v>
      </c>
      <c r="AB651" s="1">
        <f t="shared" si="428"/>
        <v>0</v>
      </c>
      <c r="AC651" s="1">
        <f t="shared" si="429"/>
        <v>30000</v>
      </c>
      <c r="AD651" s="41">
        <v>30000</v>
      </c>
      <c r="AE651" s="1">
        <f t="shared" si="435"/>
        <v>0</v>
      </c>
      <c r="AF651" s="1">
        <f t="shared" si="436"/>
        <v>30000</v>
      </c>
    </row>
    <row r="652" spans="1:32">
      <c r="A652" s="11">
        <v>92900</v>
      </c>
      <c r="B652" s="11">
        <v>22699</v>
      </c>
      <c r="C652" s="42" t="s">
        <v>892</v>
      </c>
      <c r="D652" s="7"/>
      <c r="E652" s="7"/>
      <c r="F652" s="7"/>
      <c r="G652" s="7"/>
      <c r="H652" s="7"/>
      <c r="I652" s="1"/>
      <c r="J652" s="1"/>
      <c r="K652" s="1"/>
      <c r="L652" s="1"/>
      <c r="N652" s="1"/>
      <c r="O652" s="1"/>
      <c r="T652" s="1"/>
      <c r="V652" s="1"/>
      <c r="W652" s="1"/>
      <c r="Y652" s="41"/>
      <c r="Z652" s="1">
        <v>0</v>
      </c>
      <c r="AA652" s="1">
        <v>1000</v>
      </c>
      <c r="AB652" s="1">
        <f t="shared" si="428"/>
        <v>1000</v>
      </c>
      <c r="AC652" s="1">
        <f t="shared" si="429"/>
        <v>1000</v>
      </c>
      <c r="AD652" s="41">
        <v>1000</v>
      </c>
      <c r="AE652" s="1">
        <f t="shared" si="435"/>
        <v>0</v>
      </c>
      <c r="AF652" s="1">
        <f t="shared" si="436"/>
        <v>1000</v>
      </c>
    </row>
    <row r="653" spans="1:32">
      <c r="A653" s="11">
        <v>93100</v>
      </c>
      <c r="B653" s="11">
        <v>22699</v>
      </c>
      <c r="C653" s="11" t="s">
        <v>499</v>
      </c>
      <c r="D653" s="7">
        <v>4000</v>
      </c>
      <c r="E653" s="7"/>
      <c r="F653" s="7">
        <f t="shared" ref="F653:F659" si="437">D653-E653</f>
        <v>4000</v>
      </c>
      <c r="G653" s="7">
        <v>100000</v>
      </c>
      <c r="H653" s="7">
        <f t="shared" ref="H653:H659" si="438">D653+G653</f>
        <v>104000</v>
      </c>
      <c r="I653" s="1"/>
      <c r="J653" s="1">
        <f t="shared" ref="J653:J659" si="439">H653-I653</f>
        <v>104000</v>
      </c>
      <c r="K653" s="1">
        <v>10000</v>
      </c>
      <c r="L653" s="1">
        <f t="shared" ref="L653:L659" si="440">H653+K653</f>
        <v>114000</v>
      </c>
      <c r="M653" s="7">
        <v>35000</v>
      </c>
      <c r="N653" s="1">
        <f t="shared" ref="N653:N659" si="441">L653+M653</f>
        <v>149000</v>
      </c>
      <c r="O653" s="1"/>
      <c r="Q653" s="1">
        <f t="shared" ref="Q653:Q659" si="442">N653+P653</f>
        <v>149000</v>
      </c>
      <c r="T653" s="1">
        <f t="shared" ref="T653:T659" si="443">Q653+S653</f>
        <v>149000</v>
      </c>
      <c r="U653" s="1">
        <v>70000</v>
      </c>
      <c r="V653" s="1">
        <f t="shared" ref="V653:V659" si="444">U653-T653</f>
        <v>-79000</v>
      </c>
      <c r="W653" s="1">
        <f t="shared" ref="W653:W659" si="445">T653+V653</f>
        <v>70000</v>
      </c>
      <c r="X653" s="1">
        <v>40000</v>
      </c>
      <c r="Y653" s="41">
        <f t="shared" ref="Y653:Y659" si="446">X653-W653</f>
        <v>-30000</v>
      </c>
      <c r="Z653" s="1">
        <f t="shared" ref="Z653:Z659" si="447">W653+Y653</f>
        <v>40000</v>
      </c>
      <c r="AA653" s="1">
        <v>10000</v>
      </c>
      <c r="AB653" s="1">
        <f t="shared" si="428"/>
        <v>-30000</v>
      </c>
      <c r="AC653" s="1">
        <f t="shared" si="429"/>
        <v>10000</v>
      </c>
      <c r="AD653" s="41">
        <v>10000</v>
      </c>
      <c r="AE653" s="1">
        <f t="shared" si="435"/>
        <v>0</v>
      </c>
      <c r="AF653" s="1">
        <f t="shared" si="436"/>
        <v>10000</v>
      </c>
    </row>
    <row r="654" spans="1:32">
      <c r="A654" s="11">
        <v>16210</v>
      </c>
      <c r="B654" s="11">
        <v>22700</v>
      </c>
      <c r="C654" s="11" t="s">
        <v>404</v>
      </c>
      <c r="D654" s="7">
        <v>468197.29</v>
      </c>
      <c r="E654" s="7"/>
      <c r="F654" s="7">
        <f t="shared" si="437"/>
        <v>468197.29</v>
      </c>
      <c r="G654" s="7"/>
      <c r="H654" s="7">
        <f t="shared" si="438"/>
        <v>468197.29</v>
      </c>
      <c r="I654" s="1">
        <v>486000</v>
      </c>
      <c r="J654" s="1">
        <f t="shared" si="439"/>
        <v>-17802.710000000021</v>
      </c>
      <c r="K654" s="1">
        <v>17802.71</v>
      </c>
      <c r="L654" s="1">
        <f t="shared" si="440"/>
        <v>486000</v>
      </c>
      <c r="M654" s="7">
        <v>100000</v>
      </c>
      <c r="N654" s="1">
        <f t="shared" si="441"/>
        <v>586000</v>
      </c>
      <c r="O654" s="1"/>
      <c r="P654" s="1">
        <f>612362.8-N654</f>
        <v>26362.800000000047</v>
      </c>
      <c r="Q654" s="1">
        <f t="shared" si="442"/>
        <v>612362.80000000005</v>
      </c>
      <c r="R654" s="1">
        <v>637128.35</v>
      </c>
      <c r="S654" s="1">
        <f>R654-Q654</f>
        <v>24765.54999999993</v>
      </c>
      <c r="T654" s="1">
        <f t="shared" si="443"/>
        <v>637128.35</v>
      </c>
      <c r="U654" s="1">
        <v>681880.02</v>
      </c>
      <c r="V654" s="1">
        <f t="shared" si="444"/>
        <v>44751.670000000042</v>
      </c>
      <c r="W654" s="1">
        <f t="shared" si="445"/>
        <v>681880.02</v>
      </c>
      <c r="X654" s="1">
        <v>726631.69</v>
      </c>
      <c r="Y654" s="41">
        <f t="shared" si="446"/>
        <v>44751.669999999925</v>
      </c>
      <c r="Z654" s="1">
        <f t="shared" si="447"/>
        <v>726631.69</v>
      </c>
      <c r="AA654" s="1">
        <v>771383.35</v>
      </c>
      <c r="AB654" s="1">
        <f t="shared" si="428"/>
        <v>44751.660000000033</v>
      </c>
      <c r="AC654" s="1">
        <f t="shared" si="429"/>
        <v>771383.35</v>
      </c>
      <c r="AD654" s="41">
        <v>816135.02</v>
      </c>
      <c r="AE654" s="1">
        <f t="shared" si="435"/>
        <v>44751.670000000042</v>
      </c>
      <c r="AF654" s="1">
        <f t="shared" si="436"/>
        <v>816135.02</v>
      </c>
    </row>
    <row r="655" spans="1:32">
      <c r="A655" s="11">
        <v>31100</v>
      </c>
      <c r="B655" s="11">
        <v>22700</v>
      </c>
      <c r="C655" s="11" t="s">
        <v>358</v>
      </c>
      <c r="D655" s="7">
        <v>114467.72</v>
      </c>
      <c r="E655" s="7"/>
      <c r="F655" s="7">
        <f t="shared" si="437"/>
        <v>114467.72</v>
      </c>
      <c r="G655" s="7"/>
      <c r="H655" s="7">
        <f t="shared" si="438"/>
        <v>114467.72</v>
      </c>
      <c r="I655" s="1"/>
      <c r="J655" s="1">
        <f t="shared" si="439"/>
        <v>114467.72</v>
      </c>
      <c r="K655" s="1"/>
      <c r="L655" s="1">
        <f t="shared" si="440"/>
        <v>114467.72</v>
      </c>
      <c r="N655" s="1">
        <f t="shared" si="441"/>
        <v>114467.72</v>
      </c>
      <c r="O655" s="1"/>
      <c r="P655" s="3"/>
      <c r="Q655" s="1">
        <f t="shared" si="442"/>
        <v>114467.72</v>
      </c>
      <c r="R655" s="41">
        <v>71500</v>
      </c>
      <c r="S655" s="1">
        <v>-20467.72</v>
      </c>
      <c r="T655" s="1">
        <f t="shared" si="443"/>
        <v>94000</v>
      </c>
      <c r="U655" s="1">
        <v>94000</v>
      </c>
      <c r="V655" s="1">
        <f t="shared" si="444"/>
        <v>0</v>
      </c>
      <c r="W655" s="1">
        <f t="shared" si="445"/>
        <v>94000</v>
      </c>
      <c r="X655" s="41">
        <f>40040+36300</f>
        <v>76340</v>
      </c>
      <c r="Y655" s="41">
        <f t="shared" si="446"/>
        <v>-17660</v>
      </c>
      <c r="Z655" s="1">
        <f t="shared" si="447"/>
        <v>76340</v>
      </c>
      <c r="AA655" s="41">
        <f>76340+30000</f>
        <v>106340</v>
      </c>
      <c r="AB655" s="1">
        <f t="shared" si="428"/>
        <v>30000</v>
      </c>
      <c r="AC655" s="1">
        <f t="shared" si="429"/>
        <v>106340</v>
      </c>
      <c r="AD655" s="41">
        <v>100000</v>
      </c>
      <c r="AE655" s="1">
        <f t="shared" si="435"/>
        <v>-6340</v>
      </c>
      <c r="AF655" s="1">
        <f t="shared" si="436"/>
        <v>100000</v>
      </c>
    </row>
    <row r="656" spans="1:32">
      <c r="A656" s="11">
        <v>32000</v>
      </c>
      <c r="B656" s="11">
        <v>22700</v>
      </c>
      <c r="C656" s="11" t="s">
        <v>372</v>
      </c>
      <c r="D656" s="7">
        <v>430000</v>
      </c>
      <c r="E656" s="7">
        <v>430000</v>
      </c>
      <c r="F656" s="7">
        <f t="shared" si="437"/>
        <v>0</v>
      </c>
      <c r="G656" s="7"/>
      <c r="H656" s="7">
        <f t="shared" si="438"/>
        <v>430000</v>
      </c>
      <c r="I656" s="1"/>
      <c r="J656" s="1">
        <f t="shared" si="439"/>
        <v>430000</v>
      </c>
      <c r="K656" s="1">
        <v>-89583.039999999994</v>
      </c>
      <c r="L656" s="1">
        <f t="shared" si="440"/>
        <v>340416.96</v>
      </c>
      <c r="N656" s="1">
        <f t="shared" si="441"/>
        <v>340416.96</v>
      </c>
      <c r="O656" s="1"/>
      <c r="P656" s="3"/>
      <c r="Q656" s="1">
        <f t="shared" si="442"/>
        <v>340416.96</v>
      </c>
      <c r="R656" s="16">
        <f>27706.58*12</f>
        <v>332478.96000000002</v>
      </c>
      <c r="S656" s="16">
        <f>R656-Q656</f>
        <v>-7938</v>
      </c>
      <c r="T656" s="1">
        <f t="shared" si="443"/>
        <v>332478.96000000002</v>
      </c>
      <c r="U656" s="1">
        <v>332478.96000000002</v>
      </c>
      <c r="V656" s="1">
        <f t="shared" si="444"/>
        <v>0</v>
      </c>
      <c r="W656" s="1">
        <f t="shared" si="445"/>
        <v>332478.96000000002</v>
      </c>
      <c r="X656" s="41">
        <v>332478.96000000002</v>
      </c>
      <c r="Y656" s="41">
        <f t="shared" si="446"/>
        <v>0</v>
      </c>
      <c r="Z656" s="1">
        <f t="shared" si="447"/>
        <v>332478.96000000002</v>
      </c>
      <c r="AA656" s="41">
        <v>332478.96000000002</v>
      </c>
      <c r="AB656" s="41">
        <f t="shared" si="428"/>
        <v>0</v>
      </c>
      <c r="AC656" s="1">
        <f t="shared" si="429"/>
        <v>332478.96000000002</v>
      </c>
      <c r="AD656" s="41">
        <v>332478.96000000002</v>
      </c>
      <c r="AE656" s="1">
        <f t="shared" si="435"/>
        <v>0</v>
      </c>
      <c r="AF656" s="1">
        <f t="shared" si="436"/>
        <v>332478.96000000002</v>
      </c>
    </row>
    <row r="657" spans="1:32">
      <c r="A657" s="13">
        <v>43200</v>
      </c>
      <c r="B657" s="11">
        <v>22700</v>
      </c>
      <c r="C657" s="11" t="s">
        <v>524</v>
      </c>
      <c r="D657" s="7">
        <v>2448</v>
      </c>
      <c r="E657" s="7"/>
      <c r="F657" s="7">
        <f t="shared" si="437"/>
        <v>2448</v>
      </c>
      <c r="G657" s="7"/>
      <c r="H657" s="7">
        <f t="shared" si="438"/>
        <v>2448</v>
      </c>
      <c r="I657" s="1"/>
      <c r="J657" s="1">
        <f t="shared" si="439"/>
        <v>2448</v>
      </c>
      <c r="K657" s="1"/>
      <c r="L657" s="1">
        <f t="shared" si="440"/>
        <v>2448</v>
      </c>
      <c r="N657" s="1">
        <f t="shared" si="441"/>
        <v>2448</v>
      </c>
      <c r="O657" s="1"/>
      <c r="Q657" s="1">
        <f t="shared" si="442"/>
        <v>2448</v>
      </c>
      <c r="T657" s="1">
        <f t="shared" si="443"/>
        <v>2448</v>
      </c>
      <c r="U657" s="1">
        <f>R657+T657</f>
        <v>2448</v>
      </c>
      <c r="V657" s="1">
        <f t="shared" si="444"/>
        <v>0</v>
      </c>
      <c r="W657" s="1">
        <f t="shared" si="445"/>
        <v>2448</v>
      </c>
      <c r="X657" s="1">
        <v>2450</v>
      </c>
      <c r="Y657" s="41">
        <f t="shared" si="446"/>
        <v>2</v>
      </c>
      <c r="Z657" s="1">
        <f t="shared" si="447"/>
        <v>2450</v>
      </c>
      <c r="AA657" s="41">
        <v>2450</v>
      </c>
      <c r="AB657" s="41">
        <f t="shared" si="428"/>
        <v>0</v>
      </c>
      <c r="AC657" s="1">
        <f t="shared" si="429"/>
        <v>2450</v>
      </c>
      <c r="AD657" s="41">
        <v>1000</v>
      </c>
      <c r="AE657" s="1">
        <f t="shared" si="435"/>
        <v>-1450</v>
      </c>
      <c r="AF657" s="1">
        <f t="shared" si="436"/>
        <v>1000</v>
      </c>
    </row>
    <row r="658" spans="1:32">
      <c r="A658" s="11">
        <v>92000</v>
      </c>
      <c r="B658" s="11">
        <v>22700</v>
      </c>
      <c r="C658" s="11" t="s">
        <v>533</v>
      </c>
      <c r="D658" s="7">
        <v>75000</v>
      </c>
      <c r="E658" s="7"/>
      <c r="F658" s="7">
        <f t="shared" si="437"/>
        <v>75000</v>
      </c>
      <c r="G658" s="7"/>
      <c r="H658" s="7">
        <f t="shared" si="438"/>
        <v>75000</v>
      </c>
      <c r="I658" s="1"/>
      <c r="J658" s="1">
        <f t="shared" si="439"/>
        <v>75000</v>
      </c>
      <c r="K658" s="1">
        <v>89583.039999999994</v>
      </c>
      <c r="L658" s="1">
        <f t="shared" si="440"/>
        <v>164583.03999999998</v>
      </c>
      <c r="N658" s="1">
        <f t="shared" si="441"/>
        <v>164583.03999999998</v>
      </c>
      <c r="O658" s="1"/>
      <c r="P658" s="1">
        <v>115000</v>
      </c>
      <c r="Q658" s="1">
        <f t="shared" si="442"/>
        <v>279583.03999999998</v>
      </c>
      <c r="R658" s="1">
        <f>29375.57*12</f>
        <v>352506.83999999997</v>
      </c>
      <c r="S658" s="1">
        <f>R658-Q658</f>
        <v>72923.799999999988</v>
      </c>
      <c r="T658" s="1">
        <f t="shared" si="443"/>
        <v>352506.83999999997</v>
      </c>
      <c r="U658" s="1">
        <v>352506.84</v>
      </c>
      <c r="V658" s="1">
        <f t="shared" si="444"/>
        <v>0</v>
      </c>
      <c r="W658" s="1">
        <f t="shared" si="445"/>
        <v>352506.83999999997</v>
      </c>
      <c r="X658" s="1">
        <v>352506.84</v>
      </c>
      <c r="Y658" s="41">
        <f t="shared" si="446"/>
        <v>0</v>
      </c>
      <c r="Z658" s="1">
        <f t="shared" si="447"/>
        <v>352506.83999999997</v>
      </c>
      <c r="AA658" s="1">
        <v>352506.84</v>
      </c>
      <c r="AB658" s="1">
        <f t="shared" si="428"/>
        <v>0</v>
      </c>
      <c r="AC658" s="1">
        <f t="shared" si="429"/>
        <v>352506.83999999997</v>
      </c>
      <c r="AD658" s="41">
        <v>355000</v>
      </c>
      <c r="AE658" s="1">
        <f t="shared" si="435"/>
        <v>2493.1600000000326</v>
      </c>
      <c r="AF658" s="1">
        <f t="shared" si="436"/>
        <v>355000</v>
      </c>
    </row>
    <row r="659" spans="1:32">
      <c r="A659" s="13">
        <v>43200</v>
      </c>
      <c r="B659" s="11">
        <v>22701</v>
      </c>
      <c r="C659" s="11" t="s">
        <v>525</v>
      </c>
      <c r="D659" s="7">
        <v>68544</v>
      </c>
      <c r="E659" s="7"/>
      <c r="F659" s="7">
        <f t="shared" si="437"/>
        <v>68544</v>
      </c>
      <c r="G659" s="7">
        <v>-1544</v>
      </c>
      <c r="H659" s="7">
        <f t="shared" si="438"/>
        <v>67000</v>
      </c>
      <c r="I659" s="1"/>
      <c r="J659" s="1">
        <f t="shared" si="439"/>
        <v>67000</v>
      </c>
      <c r="K659" s="1"/>
      <c r="L659" s="1">
        <f t="shared" si="440"/>
        <v>67000</v>
      </c>
      <c r="M659" s="7">
        <v>474596</v>
      </c>
      <c r="N659" s="1">
        <f t="shared" si="441"/>
        <v>541596</v>
      </c>
      <c r="O659" s="1"/>
      <c r="Q659" s="1">
        <f t="shared" si="442"/>
        <v>541596</v>
      </c>
      <c r="T659" s="1">
        <f t="shared" si="443"/>
        <v>541596</v>
      </c>
      <c r="U659" s="1">
        <v>600000</v>
      </c>
      <c r="V659" s="1">
        <f t="shared" si="444"/>
        <v>58404</v>
      </c>
      <c r="W659" s="1">
        <f t="shared" si="445"/>
        <v>600000</v>
      </c>
      <c r="X659" s="1">
        <v>0</v>
      </c>
      <c r="Y659" s="41">
        <f t="shared" si="446"/>
        <v>-600000</v>
      </c>
      <c r="Z659" s="1">
        <f t="shared" si="447"/>
        <v>0</v>
      </c>
      <c r="AA659" s="41">
        <v>0</v>
      </c>
      <c r="AB659" s="41">
        <f t="shared" si="428"/>
        <v>0</v>
      </c>
      <c r="AC659" s="1">
        <f t="shared" si="429"/>
        <v>0</v>
      </c>
      <c r="AD659" s="41">
        <v>0</v>
      </c>
      <c r="AE659" s="1">
        <f t="shared" si="435"/>
        <v>0</v>
      </c>
      <c r="AF659" s="1">
        <f t="shared" si="436"/>
        <v>0</v>
      </c>
    </row>
    <row r="660" spans="1:32">
      <c r="A660" s="42">
        <v>43900</v>
      </c>
      <c r="B660" s="11">
        <v>22701</v>
      </c>
      <c r="C660" s="42" t="s">
        <v>865</v>
      </c>
      <c r="D660" s="7"/>
      <c r="E660" s="7"/>
      <c r="F660" s="7"/>
      <c r="G660" s="7"/>
      <c r="H660" s="7"/>
      <c r="I660" s="1"/>
      <c r="J660" s="1"/>
      <c r="K660" s="1"/>
      <c r="L660" s="1"/>
      <c r="N660" s="1"/>
      <c r="O660" s="1"/>
      <c r="R660" s="41"/>
      <c r="T660" s="1"/>
      <c r="U660" s="41"/>
      <c r="V660" s="1"/>
      <c r="W660" s="1"/>
      <c r="X660" s="41"/>
      <c r="Y660" s="41"/>
      <c r="Z660" s="47">
        <v>600115.03</v>
      </c>
      <c r="AA660" s="41">
        <v>676579.6</v>
      </c>
      <c r="AB660" s="41">
        <f t="shared" si="428"/>
        <v>76464.569999999949</v>
      </c>
      <c r="AC660" s="1">
        <f t="shared" si="429"/>
        <v>676579.6</v>
      </c>
      <c r="AD660" s="47">
        <v>676579.6</v>
      </c>
      <c r="AE660" s="1">
        <f t="shared" si="435"/>
        <v>0</v>
      </c>
      <c r="AF660" s="1">
        <f t="shared" si="436"/>
        <v>676579.6</v>
      </c>
    </row>
    <row r="661" spans="1:32">
      <c r="A661" s="11">
        <v>13200</v>
      </c>
      <c r="B661" s="11">
        <v>22704</v>
      </c>
      <c r="C661" s="11" t="s">
        <v>307</v>
      </c>
      <c r="D661" s="7">
        <v>333000</v>
      </c>
      <c r="E661" s="7">
        <v>333000</v>
      </c>
      <c r="F661" s="7">
        <f>D661-E661</f>
        <v>0</v>
      </c>
      <c r="G661" s="7">
        <v>0</v>
      </c>
      <c r="H661" s="7">
        <f>D661+G661</f>
        <v>333000</v>
      </c>
      <c r="I661" s="1"/>
      <c r="J661" s="1">
        <f>H661-I661</f>
        <v>333000</v>
      </c>
      <c r="K661" s="1"/>
      <c r="L661" s="1">
        <f>H661+K661</f>
        <v>333000</v>
      </c>
      <c r="M661" s="7">
        <f>260000-L661</f>
        <v>-73000</v>
      </c>
      <c r="N661" s="1">
        <f>L661+M661</f>
        <v>260000</v>
      </c>
      <c r="O661" s="1"/>
      <c r="P661" s="1">
        <f>90000-N661</f>
        <v>-170000</v>
      </c>
      <c r="Q661" s="1">
        <f>N661+P661</f>
        <v>90000</v>
      </c>
      <c r="S661" s="1">
        <v>-90000</v>
      </c>
      <c r="T661" s="1">
        <f>Q661+S661</f>
        <v>0</v>
      </c>
      <c r="U661" s="1">
        <f>69266.69+106269</f>
        <v>175535.69</v>
      </c>
      <c r="V661" s="1">
        <f>U661-T661</f>
        <v>175535.69</v>
      </c>
      <c r="W661" s="1">
        <f>T661+V661</f>
        <v>175535.69</v>
      </c>
      <c r="X661" s="1">
        <v>0</v>
      </c>
      <c r="Y661" s="41">
        <f>X661-W661</f>
        <v>-175535.69</v>
      </c>
      <c r="Z661" s="1">
        <f>W661+Y661</f>
        <v>0</v>
      </c>
      <c r="AA661" s="1">
        <v>120000</v>
      </c>
      <c r="AB661" s="1">
        <f t="shared" si="428"/>
        <v>120000</v>
      </c>
      <c r="AC661" s="1">
        <f t="shared" si="429"/>
        <v>120000</v>
      </c>
      <c r="AD661" s="41">
        <v>80000</v>
      </c>
      <c r="AE661" s="1">
        <f t="shared" si="435"/>
        <v>-40000</v>
      </c>
      <c r="AF661" s="1">
        <f t="shared" si="436"/>
        <v>80000</v>
      </c>
    </row>
    <row r="662" spans="1:32">
      <c r="A662" s="11">
        <v>13000</v>
      </c>
      <c r="B662" s="11">
        <v>22706</v>
      </c>
      <c r="C662" s="11" t="s">
        <v>493</v>
      </c>
      <c r="D662" s="7"/>
      <c r="E662" s="7"/>
      <c r="F662" s="7"/>
      <c r="G662" s="7"/>
      <c r="H662" s="7"/>
      <c r="I662" s="1"/>
      <c r="J662" s="1"/>
      <c r="K662" s="1"/>
      <c r="L662" s="1"/>
      <c r="N662" s="1"/>
      <c r="O662" s="1"/>
      <c r="T662" s="1"/>
      <c r="V662" s="1"/>
      <c r="W662" s="1"/>
      <c r="Y662" s="41"/>
      <c r="Z662" s="1"/>
      <c r="AB662" s="1"/>
      <c r="AC662" s="1">
        <v>0</v>
      </c>
      <c r="AD662" s="41">
        <f>41240*1.21</f>
        <v>49900.4</v>
      </c>
      <c r="AE662" s="1">
        <f t="shared" si="435"/>
        <v>49900.4</v>
      </c>
      <c r="AF662" s="1">
        <f t="shared" si="436"/>
        <v>49900.4</v>
      </c>
    </row>
    <row r="663" spans="1:32">
      <c r="A663" s="11">
        <v>13200</v>
      </c>
      <c r="B663" s="11">
        <v>22706</v>
      </c>
      <c r="C663" s="42" t="s">
        <v>898</v>
      </c>
      <c r="D663" s="7"/>
      <c r="E663" s="7"/>
      <c r="F663" s="7"/>
      <c r="G663" s="7"/>
      <c r="H663" s="7"/>
      <c r="I663" s="1"/>
      <c r="J663" s="1"/>
      <c r="K663" s="1"/>
      <c r="L663" s="1"/>
      <c r="N663" s="1"/>
      <c r="O663" s="1"/>
      <c r="T663" s="1"/>
      <c r="V663" s="1"/>
      <c r="W663" s="1"/>
      <c r="Y663" s="41"/>
      <c r="Z663" s="1">
        <v>0</v>
      </c>
      <c r="AA663" s="1">
        <v>1500</v>
      </c>
      <c r="AB663" s="1">
        <f t="shared" ref="AB663:AB694" si="448">AA663-Z663</f>
        <v>1500</v>
      </c>
      <c r="AC663" s="1">
        <f t="shared" ref="AC663:AC694" si="449">Z663+AB663</f>
        <v>1500</v>
      </c>
      <c r="AD663" s="41">
        <f>1500+6050</f>
        <v>7550</v>
      </c>
      <c r="AE663" s="1">
        <f t="shared" si="435"/>
        <v>6050</v>
      </c>
      <c r="AF663" s="1">
        <f t="shared" si="436"/>
        <v>7550</v>
      </c>
    </row>
    <row r="664" spans="1:32">
      <c r="A664" s="11">
        <v>15100</v>
      </c>
      <c r="B664" s="11">
        <v>22706</v>
      </c>
      <c r="C664" s="42" t="s">
        <v>899</v>
      </c>
      <c r="D664" s="7">
        <v>360000</v>
      </c>
      <c r="E664" s="7">
        <v>500000</v>
      </c>
      <c r="F664" s="7">
        <f>D664-E664</f>
        <v>-140000</v>
      </c>
      <c r="G664" s="7">
        <v>140000</v>
      </c>
      <c r="H664" s="7">
        <f>D664+G664</f>
        <v>500000</v>
      </c>
      <c r="I664" s="1">
        <v>419903</v>
      </c>
      <c r="J664" s="1">
        <f>H664-I664</f>
        <v>80097</v>
      </c>
      <c r="K664" s="1">
        <v>0</v>
      </c>
      <c r="L664" s="1">
        <f>H664+K664</f>
        <v>500000</v>
      </c>
      <c r="N664" s="1">
        <f>L664+M664</f>
        <v>500000</v>
      </c>
      <c r="O664" s="1"/>
      <c r="P664" s="1">
        <v>-200000</v>
      </c>
      <c r="Q664" s="1">
        <f>N664+P664</f>
        <v>300000</v>
      </c>
      <c r="R664" s="1">
        <v>20000</v>
      </c>
      <c r="T664" s="1">
        <f t="shared" ref="T664:U666" si="450">Q664+S664</f>
        <v>300000</v>
      </c>
      <c r="U664" s="1">
        <f t="shared" si="450"/>
        <v>320000</v>
      </c>
      <c r="V664" s="1">
        <f t="shared" ref="V664:V681" si="451">U664-T664</f>
        <v>20000</v>
      </c>
      <c r="W664" s="1">
        <f t="shared" ref="W664:W677" si="452">T664+V664</f>
        <v>320000</v>
      </c>
      <c r="X664" s="1">
        <f>335000+50000</f>
        <v>385000</v>
      </c>
      <c r="Y664" s="41">
        <f t="shared" ref="Y664:Y690" si="453">X664-W664</f>
        <v>65000</v>
      </c>
      <c r="Z664" s="1">
        <f t="shared" ref="Z664:Z677" si="454">W664+Y664</f>
        <v>385000</v>
      </c>
      <c r="AA664" s="1">
        <v>270000</v>
      </c>
      <c r="AB664" s="1">
        <f t="shared" si="448"/>
        <v>-115000</v>
      </c>
      <c r="AC664" s="1">
        <f t="shared" si="449"/>
        <v>270000</v>
      </c>
      <c r="AD664" s="41">
        <v>290000</v>
      </c>
      <c r="AE664" s="1">
        <f t="shared" si="435"/>
        <v>20000</v>
      </c>
      <c r="AF664" s="1">
        <f t="shared" si="436"/>
        <v>290000</v>
      </c>
    </row>
    <row r="665" spans="1:32" outlineLevel="2">
      <c r="A665" s="13">
        <v>16500</v>
      </c>
      <c r="B665" s="11">
        <v>22706</v>
      </c>
      <c r="C665" s="42" t="s">
        <v>898</v>
      </c>
      <c r="D665" s="7">
        <v>10000</v>
      </c>
      <c r="E665" s="7"/>
      <c r="F665" s="7">
        <f>D665-E665</f>
        <v>10000</v>
      </c>
      <c r="G665" s="7">
        <v>-3000</v>
      </c>
      <c r="H665" s="7">
        <f>D665+G665</f>
        <v>7000</v>
      </c>
      <c r="I665" s="1"/>
      <c r="J665" s="1">
        <f>H665-I665</f>
        <v>7000</v>
      </c>
      <c r="K665" s="1"/>
      <c r="L665" s="1">
        <f>H665+K665</f>
        <v>7000</v>
      </c>
      <c r="M665" s="8"/>
      <c r="N665" s="1">
        <f>L665+M665</f>
        <v>7000</v>
      </c>
      <c r="O665" s="1"/>
      <c r="P665" s="3"/>
      <c r="Q665" s="1">
        <f>N665+P665</f>
        <v>7000</v>
      </c>
      <c r="R665" s="3"/>
      <c r="S665" s="3"/>
      <c r="T665" s="1">
        <f t="shared" si="450"/>
        <v>7000</v>
      </c>
      <c r="U665" s="1">
        <f t="shared" si="450"/>
        <v>7000</v>
      </c>
      <c r="V665" s="1">
        <f t="shared" si="451"/>
        <v>0</v>
      </c>
      <c r="W665" s="1">
        <f t="shared" si="452"/>
        <v>7000</v>
      </c>
      <c r="X665" s="41">
        <v>7500</v>
      </c>
      <c r="Y665" s="41">
        <f t="shared" si="453"/>
        <v>500</v>
      </c>
      <c r="Z665" s="1">
        <f t="shared" si="454"/>
        <v>7500</v>
      </c>
      <c r="AA665" s="1">
        <v>7500</v>
      </c>
      <c r="AB665" s="1">
        <f t="shared" si="448"/>
        <v>0</v>
      </c>
      <c r="AC665" s="1">
        <f t="shared" si="449"/>
        <v>7500</v>
      </c>
      <c r="AD665" s="41">
        <v>7500</v>
      </c>
      <c r="AE665" s="1">
        <f t="shared" si="435"/>
        <v>0</v>
      </c>
      <c r="AF665" s="1">
        <f t="shared" si="436"/>
        <v>7500</v>
      </c>
    </row>
    <row r="666" spans="1:32">
      <c r="A666" s="42">
        <v>17000</v>
      </c>
      <c r="B666" s="11">
        <v>22706</v>
      </c>
      <c r="C666" s="11" t="s">
        <v>935</v>
      </c>
      <c r="D666" s="7"/>
      <c r="E666" s="7"/>
      <c r="F666" s="7"/>
      <c r="G666" s="7"/>
      <c r="H666" s="7"/>
      <c r="I666" s="1"/>
      <c r="J666" s="1"/>
      <c r="K666" s="1"/>
      <c r="L666" s="1"/>
      <c r="N666" s="1"/>
      <c r="O666" s="1"/>
      <c r="Q666" s="1">
        <v>0</v>
      </c>
      <c r="S666" s="1">
        <v>10000</v>
      </c>
      <c r="T666" s="1">
        <f t="shared" si="450"/>
        <v>10000</v>
      </c>
      <c r="U666" s="1">
        <f t="shared" si="450"/>
        <v>10000</v>
      </c>
      <c r="V666" s="1">
        <f t="shared" si="451"/>
        <v>0</v>
      </c>
      <c r="W666" s="1">
        <f t="shared" si="452"/>
        <v>10000</v>
      </c>
      <c r="X666" s="1">
        <v>20000</v>
      </c>
      <c r="Y666" s="41">
        <f t="shared" si="453"/>
        <v>10000</v>
      </c>
      <c r="Z666" s="1">
        <f t="shared" si="454"/>
        <v>20000</v>
      </c>
      <c r="AA666" s="1">
        <v>10000</v>
      </c>
      <c r="AB666" s="1">
        <f t="shared" si="448"/>
        <v>-10000</v>
      </c>
      <c r="AC666" s="1">
        <f t="shared" si="449"/>
        <v>10000</v>
      </c>
      <c r="AD666" s="41">
        <f>29000</f>
        <v>29000</v>
      </c>
      <c r="AE666" s="1">
        <f t="shared" si="435"/>
        <v>19000</v>
      </c>
      <c r="AF666" s="1">
        <f t="shared" si="436"/>
        <v>29000</v>
      </c>
    </row>
    <row r="667" spans="1:32">
      <c r="A667" s="13">
        <v>23110</v>
      </c>
      <c r="B667" s="11">
        <v>22706</v>
      </c>
      <c r="C667" s="68" t="s">
        <v>850</v>
      </c>
      <c r="D667" s="8"/>
      <c r="E667" s="8"/>
      <c r="F667" s="8"/>
      <c r="G667" s="8"/>
      <c r="H667" s="8"/>
      <c r="I667" s="8"/>
      <c r="J667" s="8"/>
      <c r="K667" s="8"/>
      <c r="L667" s="10">
        <v>215000</v>
      </c>
      <c r="M667" s="10">
        <v>-5000</v>
      </c>
      <c r="N667" s="7">
        <f>L667+M667</f>
        <v>210000</v>
      </c>
      <c r="O667" s="7"/>
      <c r="P667" s="3"/>
      <c r="Q667" s="1">
        <f>N667+P667</f>
        <v>210000</v>
      </c>
      <c r="R667" s="41">
        <v>40516.660000000003</v>
      </c>
      <c r="S667" s="3"/>
      <c r="T667" s="1">
        <f>Q667+S667</f>
        <v>210000</v>
      </c>
      <c r="U667" s="1">
        <v>210000</v>
      </c>
      <c r="V667" s="1">
        <f t="shared" si="451"/>
        <v>0</v>
      </c>
      <c r="W667" s="1">
        <f t="shared" si="452"/>
        <v>210000</v>
      </c>
      <c r="X667" s="41">
        <v>210000</v>
      </c>
      <c r="Y667" s="41">
        <f t="shared" si="453"/>
        <v>0</v>
      </c>
      <c r="Z667" s="1">
        <f t="shared" si="454"/>
        <v>210000</v>
      </c>
      <c r="AA667" s="41">
        <f>101000+10000</f>
        <v>111000</v>
      </c>
      <c r="AB667" s="41">
        <f t="shared" si="448"/>
        <v>-99000</v>
      </c>
      <c r="AC667" s="1">
        <f t="shared" si="449"/>
        <v>111000</v>
      </c>
      <c r="AD667" s="41">
        <v>111000</v>
      </c>
      <c r="AE667" s="1">
        <f t="shared" si="435"/>
        <v>0</v>
      </c>
      <c r="AF667" s="1">
        <f t="shared" si="436"/>
        <v>111000</v>
      </c>
    </row>
    <row r="668" spans="1:32">
      <c r="A668" s="13">
        <v>23111</v>
      </c>
      <c r="B668" s="11">
        <v>22706</v>
      </c>
      <c r="C668" s="11" t="s">
        <v>88</v>
      </c>
      <c r="D668" s="7">
        <v>0</v>
      </c>
      <c r="E668" s="7">
        <f>31548.8+11588.1+71050+26400</f>
        <v>140586.9</v>
      </c>
      <c r="F668" s="7">
        <f>D668-E668</f>
        <v>-140586.9</v>
      </c>
      <c r="G668" s="7">
        <v>140586.9</v>
      </c>
      <c r="H668" s="7">
        <f>D668+G668</f>
        <v>140586.9</v>
      </c>
      <c r="I668" s="7">
        <f>80200+28000+18500</f>
        <v>126700</v>
      </c>
      <c r="J668" s="7">
        <f>H668-I668</f>
        <v>13886.899999999994</v>
      </c>
      <c r="K668" s="7">
        <v>-13886.9</v>
      </c>
      <c r="L668" s="7">
        <v>126700</v>
      </c>
      <c r="M668" s="10">
        <f>132000-L668</f>
        <v>5300</v>
      </c>
      <c r="N668" s="7">
        <f>L668+M668</f>
        <v>132000</v>
      </c>
      <c r="O668" s="7"/>
      <c r="Q668" s="1">
        <f>N668+P668</f>
        <v>132000</v>
      </c>
      <c r="R668" s="1">
        <v>30800</v>
      </c>
      <c r="T668" s="1">
        <f>Q668+S668</f>
        <v>132000</v>
      </c>
      <c r="U668" s="1">
        <v>136000</v>
      </c>
      <c r="V668" s="1">
        <f t="shared" si="451"/>
        <v>4000</v>
      </c>
      <c r="W668" s="1">
        <f t="shared" si="452"/>
        <v>136000</v>
      </c>
      <c r="X668" s="1">
        <f>86000+27000+56940+15000</f>
        <v>184940</v>
      </c>
      <c r="Y668" s="41">
        <f t="shared" si="453"/>
        <v>48940</v>
      </c>
      <c r="Z668" s="1">
        <f t="shared" si="454"/>
        <v>184940</v>
      </c>
      <c r="AA668" s="1">
        <f>86000+27000+15000</f>
        <v>128000</v>
      </c>
      <c r="AB668" s="41">
        <f t="shared" si="448"/>
        <v>-56940</v>
      </c>
      <c r="AC668" s="1">
        <f t="shared" si="449"/>
        <v>128000</v>
      </c>
      <c r="AD668" s="41">
        <v>128000</v>
      </c>
      <c r="AE668" s="1">
        <f t="shared" si="435"/>
        <v>0</v>
      </c>
      <c r="AF668" s="1">
        <f t="shared" si="436"/>
        <v>128000</v>
      </c>
    </row>
    <row r="669" spans="1:32">
      <c r="A669" s="11">
        <v>23112</v>
      </c>
      <c r="B669" s="11">
        <v>22706</v>
      </c>
      <c r="C669" s="11" t="s">
        <v>493</v>
      </c>
      <c r="D669" s="7">
        <v>85600</v>
      </c>
      <c r="E669" s="7">
        <f>393766.39+85600</f>
        <v>479366.39</v>
      </c>
      <c r="F669" s="7">
        <f>D669-E669</f>
        <v>-393766.39</v>
      </c>
      <c r="G669" s="7">
        <v>393766.39</v>
      </c>
      <c r="H669" s="7">
        <f>D669+G669</f>
        <v>479366.39</v>
      </c>
      <c r="I669" s="1"/>
      <c r="J669" s="1">
        <f>H669-I669</f>
        <v>479366.39</v>
      </c>
      <c r="K669" s="1"/>
      <c r="L669" s="1">
        <f>H669+K669</f>
        <v>479366.39</v>
      </c>
      <c r="M669" s="10">
        <f>414366.57-L669</f>
        <v>-64999.820000000007</v>
      </c>
      <c r="N669" s="1">
        <f>L669+M669</f>
        <v>414366.57</v>
      </c>
      <c r="O669" s="1"/>
      <c r="P669" s="3"/>
      <c r="Q669" s="1">
        <f>N669+P669</f>
        <v>414366.57</v>
      </c>
      <c r="R669" s="3"/>
      <c r="S669" s="41">
        <v>-24366.57</v>
      </c>
      <c r="T669" s="1">
        <f>Q669+S669</f>
        <v>390000</v>
      </c>
      <c r="U669" s="1">
        <v>397500</v>
      </c>
      <c r="V669" s="1">
        <f t="shared" si="451"/>
        <v>7500</v>
      </c>
      <c r="W669" s="1">
        <f t="shared" si="452"/>
        <v>397500</v>
      </c>
      <c r="X669" s="41">
        <f>215380+9500+18000</f>
        <v>242880</v>
      </c>
      <c r="Y669" s="41">
        <f t="shared" si="453"/>
        <v>-154620</v>
      </c>
      <c r="Z669" s="1">
        <f t="shared" si="454"/>
        <v>242880</v>
      </c>
      <c r="AA669" s="41">
        <f>204586+9800+20600</f>
        <v>234986</v>
      </c>
      <c r="AB669" s="1">
        <f t="shared" si="448"/>
        <v>-7894</v>
      </c>
      <c r="AC669" s="1">
        <f t="shared" si="449"/>
        <v>234986</v>
      </c>
      <c r="AD669" s="41">
        <v>204585.37</v>
      </c>
      <c r="AE669" s="1">
        <f t="shared" si="435"/>
        <v>-30400.630000000005</v>
      </c>
      <c r="AF669" s="1">
        <f t="shared" si="436"/>
        <v>204585.37</v>
      </c>
    </row>
    <row r="670" spans="1:32">
      <c r="A670" s="42">
        <v>23113</v>
      </c>
      <c r="B670" s="11">
        <v>22706</v>
      </c>
      <c r="C670" s="42" t="s">
        <v>900</v>
      </c>
      <c r="D670" s="7">
        <v>29900</v>
      </c>
      <c r="E670" s="7">
        <v>30000</v>
      </c>
      <c r="F670" s="7">
        <f>D670-E670</f>
        <v>-100</v>
      </c>
      <c r="G670" s="7">
        <v>100</v>
      </c>
      <c r="H670" s="7">
        <f>D670+G670</f>
        <v>30000</v>
      </c>
      <c r="I670" s="7"/>
      <c r="J670" s="7">
        <f>H670-I670</f>
        <v>30000</v>
      </c>
      <c r="K670" s="7"/>
      <c r="L670" s="7">
        <v>30000</v>
      </c>
      <c r="M670" s="7">
        <v>0</v>
      </c>
      <c r="N670" s="7">
        <f>L670+M670</f>
        <v>30000</v>
      </c>
      <c r="O670" s="7"/>
      <c r="Q670" s="1">
        <f>N670+P670</f>
        <v>30000</v>
      </c>
      <c r="T670" s="1">
        <f>Q670+S670</f>
        <v>30000</v>
      </c>
      <c r="U670" s="1">
        <f>R670+T670</f>
        <v>30000</v>
      </c>
      <c r="V670" s="1">
        <f t="shared" si="451"/>
        <v>0</v>
      </c>
      <c r="W670" s="1">
        <f t="shared" si="452"/>
        <v>30000</v>
      </c>
      <c r="X670" s="1">
        <v>25000</v>
      </c>
      <c r="Y670" s="41">
        <f t="shared" si="453"/>
        <v>-5000</v>
      </c>
      <c r="Z670" s="1">
        <f t="shared" si="454"/>
        <v>25000</v>
      </c>
      <c r="AA670" s="1">
        <f>30000</f>
        <v>30000</v>
      </c>
      <c r="AB670" s="41">
        <f t="shared" si="448"/>
        <v>5000</v>
      </c>
      <c r="AC670" s="1">
        <f t="shared" si="449"/>
        <v>30000</v>
      </c>
      <c r="AD670" s="41">
        <v>30000</v>
      </c>
      <c r="AE670" s="1">
        <f t="shared" si="435"/>
        <v>0</v>
      </c>
      <c r="AF670" s="1">
        <f t="shared" si="436"/>
        <v>30000</v>
      </c>
    </row>
    <row r="671" spans="1:32">
      <c r="A671" s="11">
        <v>24100</v>
      </c>
      <c r="B671" s="11">
        <v>22706</v>
      </c>
      <c r="C671" s="42" t="s">
        <v>898</v>
      </c>
      <c r="D671" s="7"/>
      <c r="E671" s="7"/>
      <c r="F671" s="7"/>
      <c r="G671" s="7"/>
      <c r="H671" s="7"/>
      <c r="I671" s="1"/>
      <c r="J671" s="1"/>
      <c r="K671" s="1"/>
      <c r="L671" s="1"/>
      <c r="M671" s="8"/>
      <c r="N671" s="1"/>
      <c r="O671" s="1"/>
      <c r="T671" s="1">
        <v>0</v>
      </c>
      <c r="U671" s="1">
        <v>10000</v>
      </c>
      <c r="V671" s="1">
        <f t="shared" si="451"/>
        <v>10000</v>
      </c>
      <c r="W671" s="1">
        <f t="shared" si="452"/>
        <v>10000</v>
      </c>
      <c r="X671" s="1">
        <v>10000</v>
      </c>
      <c r="Y671" s="41">
        <f t="shared" si="453"/>
        <v>0</v>
      </c>
      <c r="Z671" s="1">
        <f>W671+Y671</f>
        <v>10000</v>
      </c>
      <c r="AA671" s="1">
        <f>10000+3242.8+12000+700</f>
        <v>25942.799999999999</v>
      </c>
      <c r="AB671" s="1">
        <f>AA671-Z671</f>
        <v>15942.8</v>
      </c>
      <c r="AC671" s="1">
        <f t="shared" si="449"/>
        <v>25942.799999999999</v>
      </c>
      <c r="AD671" s="76">
        <f>20000+20000</f>
        <v>40000</v>
      </c>
      <c r="AE671" s="1">
        <f t="shared" si="435"/>
        <v>14057.2</v>
      </c>
      <c r="AF671" s="1">
        <f t="shared" si="436"/>
        <v>40000</v>
      </c>
    </row>
    <row r="672" spans="1:32">
      <c r="A672" s="11">
        <v>33400</v>
      </c>
      <c r="B672" s="11">
        <v>22706</v>
      </c>
      <c r="C672" s="42" t="s">
        <v>901</v>
      </c>
      <c r="D672" s="7">
        <v>119500</v>
      </c>
      <c r="E672" s="7">
        <v>119500</v>
      </c>
      <c r="F672" s="7">
        <f t="shared" ref="F672:F681" si="455">D672-E672</f>
        <v>0</v>
      </c>
      <c r="G672" s="7"/>
      <c r="H672" s="7">
        <f t="shared" ref="H672:H681" si="456">D672+G672</f>
        <v>119500</v>
      </c>
      <c r="I672" s="7"/>
      <c r="J672" s="7">
        <f t="shared" ref="J672:J681" si="457">H672-I672</f>
        <v>119500</v>
      </c>
      <c r="K672" s="7"/>
      <c r="L672" s="7">
        <v>119500</v>
      </c>
      <c r="M672" s="7">
        <v>0</v>
      </c>
      <c r="N672" s="7">
        <v>0</v>
      </c>
      <c r="O672" s="7"/>
      <c r="P672" s="16">
        <v>119500</v>
      </c>
      <c r="Q672" s="1">
        <f>N672+P672</f>
        <v>119500</v>
      </c>
      <c r="R672" s="1">
        <v>156500</v>
      </c>
      <c r="S672" s="1">
        <f>R672-Q672</f>
        <v>37000</v>
      </c>
      <c r="T672" s="1">
        <f t="shared" ref="T672:T681" si="458">Q672+S672</f>
        <v>156500</v>
      </c>
      <c r="U672" s="1">
        <v>136500</v>
      </c>
      <c r="V672" s="1">
        <f t="shared" si="451"/>
        <v>-20000</v>
      </c>
      <c r="W672" s="1">
        <f t="shared" si="452"/>
        <v>136500</v>
      </c>
      <c r="X672" s="54">
        <v>125000</v>
      </c>
      <c r="Y672" s="41">
        <f t="shared" si="453"/>
        <v>-11500</v>
      </c>
      <c r="Z672" s="1">
        <f t="shared" si="454"/>
        <v>125000</v>
      </c>
      <c r="AA672" s="1">
        <v>136600</v>
      </c>
      <c r="AB672" s="1">
        <f t="shared" si="448"/>
        <v>11600</v>
      </c>
      <c r="AC672" s="1">
        <f t="shared" si="449"/>
        <v>136600</v>
      </c>
      <c r="AD672" s="41">
        <f>196730*1.21/2</f>
        <v>119021.65</v>
      </c>
      <c r="AE672" s="1">
        <f t="shared" si="435"/>
        <v>-17578.350000000006</v>
      </c>
      <c r="AF672" s="1">
        <f t="shared" si="436"/>
        <v>119021.65</v>
      </c>
    </row>
    <row r="673" spans="1:32">
      <c r="A673" s="11">
        <v>33600</v>
      </c>
      <c r="B673" s="11">
        <v>22706</v>
      </c>
      <c r="C673" s="42" t="s">
        <v>898</v>
      </c>
      <c r="D673" s="7">
        <v>7212.14</v>
      </c>
      <c r="E673" s="7"/>
      <c r="F673" s="7">
        <f t="shared" si="455"/>
        <v>7212.14</v>
      </c>
      <c r="G673" s="7">
        <v>-2212.14</v>
      </c>
      <c r="H673" s="7">
        <f t="shared" si="456"/>
        <v>5000</v>
      </c>
      <c r="I673" s="1"/>
      <c r="J673" s="1">
        <f t="shared" si="457"/>
        <v>5000</v>
      </c>
      <c r="K673" s="1"/>
      <c r="L673" s="1">
        <f t="shared" ref="L673:L680" si="459">H673+K673</f>
        <v>5000</v>
      </c>
      <c r="N673" s="1">
        <f t="shared" ref="N673:N681" si="460">L673+M673</f>
        <v>5000</v>
      </c>
      <c r="O673" s="1"/>
      <c r="Q673" s="1">
        <f>N673+P673</f>
        <v>5000</v>
      </c>
      <c r="T673" s="1">
        <f t="shared" si="458"/>
        <v>5000</v>
      </c>
      <c r="U673" s="1">
        <f>R673+T673</f>
        <v>5000</v>
      </c>
      <c r="V673" s="1">
        <f t="shared" si="451"/>
        <v>0</v>
      </c>
      <c r="W673" s="1">
        <f t="shared" si="452"/>
        <v>5000</v>
      </c>
      <c r="X673" s="1">
        <v>5000</v>
      </c>
      <c r="Y673" s="41">
        <f t="shared" si="453"/>
        <v>0</v>
      </c>
      <c r="Z673" s="1">
        <f t="shared" si="454"/>
        <v>5000</v>
      </c>
      <c r="AA673" s="1">
        <f>30000</f>
        <v>30000</v>
      </c>
      <c r="AB673" s="1">
        <f t="shared" si="448"/>
        <v>25000</v>
      </c>
      <c r="AC673" s="1">
        <f t="shared" si="449"/>
        <v>30000</v>
      </c>
      <c r="AD673" s="41">
        <v>40000</v>
      </c>
      <c r="AE673" s="1">
        <f t="shared" si="435"/>
        <v>10000</v>
      </c>
      <c r="AF673" s="1">
        <f t="shared" si="436"/>
        <v>40000</v>
      </c>
    </row>
    <row r="674" spans="1:32">
      <c r="A674" s="11">
        <v>33700</v>
      </c>
      <c r="B674" s="11">
        <v>22706</v>
      </c>
      <c r="C674" s="11" t="s">
        <v>638</v>
      </c>
      <c r="D674" s="7">
        <v>95000</v>
      </c>
      <c r="E674" s="7"/>
      <c r="F674" s="7">
        <f t="shared" si="455"/>
        <v>95000</v>
      </c>
      <c r="G674" s="7">
        <v>-5000</v>
      </c>
      <c r="H674" s="7">
        <f t="shared" si="456"/>
        <v>90000</v>
      </c>
      <c r="I674" s="1"/>
      <c r="J674" s="1">
        <f t="shared" si="457"/>
        <v>90000</v>
      </c>
      <c r="K674" s="1"/>
      <c r="L674" s="1">
        <f t="shared" si="459"/>
        <v>90000</v>
      </c>
      <c r="M674" s="10">
        <v>-20000</v>
      </c>
      <c r="N674" s="1">
        <f t="shared" si="460"/>
        <v>70000</v>
      </c>
      <c r="O674" s="1"/>
      <c r="Q674" s="1">
        <v>70000</v>
      </c>
      <c r="T674" s="1">
        <f t="shared" si="458"/>
        <v>70000</v>
      </c>
      <c r="U674" s="1">
        <f>R674+T674</f>
        <v>70000</v>
      </c>
      <c r="V674" s="1">
        <f t="shared" si="451"/>
        <v>0</v>
      </c>
      <c r="W674" s="1">
        <f t="shared" si="452"/>
        <v>70000</v>
      </c>
      <c r="X674" s="1">
        <f>24200+13322.1+33275+35000+148830</f>
        <v>254627.1</v>
      </c>
      <c r="Y674" s="41">
        <f t="shared" si="453"/>
        <v>184627.1</v>
      </c>
      <c r="Z674" s="1">
        <f t="shared" si="454"/>
        <v>254627.1</v>
      </c>
      <c r="AA674" s="1">
        <f>161318</f>
        <v>161318</v>
      </c>
      <c r="AB674" s="1">
        <f t="shared" si="448"/>
        <v>-93309.1</v>
      </c>
      <c r="AC674" s="1">
        <f t="shared" si="449"/>
        <v>161318</v>
      </c>
      <c r="AD674" s="41">
        <v>203778</v>
      </c>
      <c r="AE674" s="1">
        <f t="shared" si="435"/>
        <v>42460</v>
      </c>
      <c r="AF674" s="1">
        <f t="shared" si="436"/>
        <v>203778</v>
      </c>
    </row>
    <row r="675" spans="1:32">
      <c r="A675" s="11">
        <v>34000</v>
      </c>
      <c r="B675" s="11">
        <v>22706</v>
      </c>
      <c r="C675" s="11" t="s">
        <v>450</v>
      </c>
      <c r="D675" s="7">
        <v>73015</v>
      </c>
      <c r="E675" s="7"/>
      <c r="F675" s="7">
        <f t="shared" si="455"/>
        <v>73015</v>
      </c>
      <c r="G675" s="7">
        <v>-13015</v>
      </c>
      <c r="H675" s="7">
        <f t="shared" si="456"/>
        <v>60000</v>
      </c>
      <c r="I675" s="1"/>
      <c r="J675" s="1">
        <f t="shared" si="457"/>
        <v>60000</v>
      </c>
      <c r="K675" s="1"/>
      <c r="L675" s="1">
        <f t="shared" si="459"/>
        <v>60000</v>
      </c>
      <c r="N675" s="1">
        <f t="shared" si="460"/>
        <v>60000</v>
      </c>
      <c r="O675" s="1"/>
      <c r="Q675" s="1">
        <f t="shared" ref="Q675:Q681" si="461">N675+P675</f>
        <v>60000</v>
      </c>
      <c r="T675" s="1">
        <f t="shared" si="458"/>
        <v>60000</v>
      </c>
      <c r="U675" s="1">
        <f>R675+T675</f>
        <v>60000</v>
      </c>
      <c r="V675" s="1">
        <f t="shared" si="451"/>
        <v>0</v>
      </c>
      <c r="W675" s="1">
        <f t="shared" si="452"/>
        <v>60000</v>
      </c>
      <c r="X675" s="1">
        <v>60000</v>
      </c>
      <c r="Y675" s="41">
        <f t="shared" si="453"/>
        <v>0</v>
      </c>
      <c r="Z675" s="1">
        <f t="shared" si="454"/>
        <v>60000</v>
      </c>
      <c r="AA675" s="1">
        <v>65000</v>
      </c>
      <c r="AB675" s="1">
        <f t="shared" si="448"/>
        <v>5000</v>
      </c>
      <c r="AC675" s="1">
        <f t="shared" si="449"/>
        <v>65000</v>
      </c>
      <c r="AD675" s="41">
        <v>65000</v>
      </c>
      <c r="AE675" s="1">
        <f t="shared" si="435"/>
        <v>0</v>
      </c>
      <c r="AF675" s="1">
        <f t="shared" si="436"/>
        <v>65000</v>
      </c>
    </row>
    <row r="676" spans="1:32">
      <c r="A676" s="11">
        <v>43000</v>
      </c>
      <c r="B676" s="11">
        <v>22706</v>
      </c>
      <c r="C676" s="11" t="s">
        <v>508</v>
      </c>
      <c r="D676" s="7">
        <v>7200</v>
      </c>
      <c r="E676" s="7"/>
      <c r="F676" s="7">
        <f t="shared" si="455"/>
        <v>7200</v>
      </c>
      <c r="G676" s="7"/>
      <c r="H676" s="7">
        <f t="shared" si="456"/>
        <v>7200</v>
      </c>
      <c r="I676" s="1"/>
      <c r="J676" s="1">
        <f t="shared" si="457"/>
        <v>7200</v>
      </c>
      <c r="K676" s="1"/>
      <c r="L676" s="1">
        <f t="shared" si="459"/>
        <v>7200</v>
      </c>
      <c r="M676" s="8"/>
      <c r="N676" s="1">
        <f t="shared" si="460"/>
        <v>7200</v>
      </c>
      <c r="O676" s="1"/>
      <c r="Q676" s="1">
        <f t="shared" si="461"/>
        <v>7200</v>
      </c>
      <c r="T676" s="1">
        <f t="shared" si="458"/>
        <v>7200</v>
      </c>
      <c r="U676" s="1">
        <f>R676+T676</f>
        <v>7200</v>
      </c>
      <c r="V676" s="1">
        <f t="shared" si="451"/>
        <v>0</v>
      </c>
      <c r="W676" s="1">
        <f t="shared" si="452"/>
        <v>7200</v>
      </c>
      <c r="X676" s="1">
        <v>7200</v>
      </c>
      <c r="Y676" s="41">
        <f t="shared" si="453"/>
        <v>0</v>
      </c>
      <c r="Z676" s="1">
        <f t="shared" si="454"/>
        <v>7200</v>
      </c>
      <c r="AA676" s="1">
        <v>0</v>
      </c>
      <c r="AB676" s="41">
        <f t="shared" si="448"/>
        <v>-7200</v>
      </c>
      <c r="AC676" s="1">
        <f t="shared" si="449"/>
        <v>0</v>
      </c>
      <c r="AD676" s="41">
        <v>1000</v>
      </c>
      <c r="AE676" s="1">
        <f t="shared" si="435"/>
        <v>1000</v>
      </c>
      <c r="AF676" s="1">
        <f t="shared" si="436"/>
        <v>1000</v>
      </c>
    </row>
    <row r="677" spans="1:32">
      <c r="A677" s="13">
        <v>43200</v>
      </c>
      <c r="B677" s="11">
        <v>22706</v>
      </c>
      <c r="C677" s="42" t="s">
        <v>898</v>
      </c>
      <c r="D677" s="7">
        <v>4904.26</v>
      </c>
      <c r="E677" s="7"/>
      <c r="F677" s="7">
        <f t="shared" si="455"/>
        <v>4904.26</v>
      </c>
      <c r="G677" s="7"/>
      <c r="H677" s="7">
        <f t="shared" si="456"/>
        <v>4904.26</v>
      </c>
      <c r="I677" s="1"/>
      <c r="J677" s="1">
        <f t="shared" si="457"/>
        <v>4904.26</v>
      </c>
      <c r="K677" s="1"/>
      <c r="L677" s="1">
        <f t="shared" si="459"/>
        <v>4904.26</v>
      </c>
      <c r="N677" s="1">
        <f t="shared" si="460"/>
        <v>4904.26</v>
      </c>
      <c r="O677" s="1"/>
      <c r="Q677" s="1">
        <f t="shared" si="461"/>
        <v>4904.26</v>
      </c>
      <c r="T677" s="1">
        <f t="shared" si="458"/>
        <v>4904.26</v>
      </c>
      <c r="U677" s="1">
        <v>8000</v>
      </c>
      <c r="V677" s="1">
        <f t="shared" si="451"/>
        <v>3095.74</v>
      </c>
      <c r="W677" s="1">
        <f t="shared" si="452"/>
        <v>8000</v>
      </c>
      <c r="X677" s="1">
        <v>8000</v>
      </c>
      <c r="Y677" s="41">
        <f t="shared" si="453"/>
        <v>0</v>
      </c>
      <c r="Z677" s="1">
        <f t="shared" si="454"/>
        <v>8000</v>
      </c>
      <c r="AA677" s="41">
        <v>8000</v>
      </c>
      <c r="AB677" s="41">
        <f t="shared" si="448"/>
        <v>0</v>
      </c>
      <c r="AC677" s="1">
        <f t="shared" si="449"/>
        <v>8000</v>
      </c>
      <c r="AD677" s="41">
        <v>15000</v>
      </c>
      <c r="AE677" s="1">
        <f t="shared" si="435"/>
        <v>7000</v>
      </c>
      <c r="AF677" s="1">
        <f t="shared" si="436"/>
        <v>15000</v>
      </c>
    </row>
    <row r="678" spans="1:32">
      <c r="A678" s="13">
        <v>43210</v>
      </c>
      <c r="B678" s="11">
        <v>22706</v>
      </c>
      <c r="C678" s="11" t="s">
        <v>257</v>
      </c>
      <c r="D678" s="7">
        <v>68544</v>
      </c>
      <c r="E678" s="7"/>
      <c r="F678" s="7">
        <f t="shared" si="455"/>
        <v>68544</v>
      </c>
      <c r="G678" s="7">
        <v>-1544</v>
      </c>
      <c r="H678" s="7">
        <f t="shared" si="456"/>
        <v>67000</v>
      </c>
      <c r="I678" s="1"/>
      <c r="J678" s="1">
        <f t="shared" si="457"/>
        <v>67000</v>
      </c>
      <c r="K678" s="1"/>
      <c r="L678" s="1">
        <f t="shared" si="459"/>
        <v>67000</v>
      </c>
      <c r="M678" s="7">
        <v>474596</v>
      </c>
      <c r="N678" s="1">
        <f t="shared" si="460"/>
        <v>541596</v>
      </c>
      <c r="O678" s="1"/>
      <c r="Q678" s="1">
        <f t="shared" si="461"/>
        <v>541596</v>
      </c>
      <c r="T678" s="1">
        <f t="shared" si="458"/>
        <v>541596</v>
      </c>
      <c r="U678" s="1">
        <v>600000</v>
      </c>
      <c r="V678" s="1">
        <f t="shared" si="451"/>
        <v>58404</v>
      </c>
      <c r="W678" s="1">
        <v>0</v>
      </c>
      <c r="X678" s="1">
        <f>500165.96+75226.35+24722.72</f>
        <v>600115.03</v>
      </c>
      <c r="Y678" s="41">
        <f t="shared" si="453"/>
        <v>600115.03</v>
      </c>
      <c r="Z678" s="47">
        <v>0</v>
      </c>
      <c r="AA678" s="41">
        <v>57000</v>
      </c>
      <c r="AB678" s="41">
        <f t="shared" si="448"/>
        <v>57000</v>
      </c>
      <c r="AC678" s="1">
        <f t="shared" si="449"/>
        <v>57000</v>
      </c>
      <c r="AD678" s="41">
        <v>60000</v>
      </c>
      <c r="AE678" s="1">
        <f t="shared" si="435"/>
        <v>3000</v>
      </c>
      <c r="AF678" s="1">
        <f t="shared" si="436"/>
        <v>60000</v>
      </c>
    </row>
    <row r="679" spans="1:32" outlineLevel="2">
      <c r="A679" s="11">
        <v>91200</v>
      </c>
      <c r="B679" s="11">
        <v>22706</v>
      </c>
      <c r="C679" s="42" t="s">
        <v>902</v>
      </c>
      <c r="D679" s="7">
        <v>10000</v>
      </c>
      <c r="E679" s="7"/>
      <c r="F679" s="7">
        <f t="shared" si="455"/>
        <v>10000</v>
      </c>
      <c r="G679" s="7"/>
      <c r="H679" s="7">
        <f t="shared" si="456"/>
        <v>10000</v>
      </c>
      <c r="I679" s="1"/>
      <c r="J679" s="1">
        <f t="shared" si="457"/>
        <v>10000</v>
      </c>
      <c r="K679" s="1"/>
      <c r="L679" s="1">
        <f t="shared" si="459"/>
        <v>10000</v>
      </c>
      <c r="N679" s="1">
        <f t="shared" si="460"/>
        <v>10000</v>
      </c>
      <c r="O679" s="1"/>
      <c r="Q679" s="1">
        <f t="shared" si="461"/>
        <v>10000</v>
      </c>
      <c r="T679" s="1">
        <f t="shared" si="458"/>
        <v>10000</v>
      </c>
      <c r="U679" s="1">
        <v>40000</v>
      </c>
      <c r="V679" s="1">
        <f t="shared" si="451"/>
        <v>30000</v>
      </c>
      <c r="W679" s="1">
        <f>T679+V679</f>
        <v>40000</v>
      </c>
      <c r="X679" s="1">
        <v>40000</v>
      </c>
      <c r="Y679" s="41">
        <f t="shared" si="453"/>
        <v>0</v>
      </c>
      <c r="Z679" s="1">
        <f t="shared" ref="Z679:Z685" si="462">W679+Y679</f>
        <v>40000</v>
      </c>
      <c r="AA679" s="41">
        <v>40000</v>
      </c>
      <c r="AB679" s="1">
        <f t="shared" si="448"/>
        <v>0</v>
      </c>
      <c r="AC679" s="1">
        <f t="shared" si="449"/>
        <v>40000</v>
      </c>
      <c r="AD679" s="41">
        <v>20000</v>
      </c>
      <c r="AE679" s="1">
        <f t="shared" si="435"/>
        <v>-20000</v>
      </c>
      <c r="AF679" s="1">
        <f t="shared" si="436"/>
        <v>20000</v>
      </c>
    </row>
    <row r="680" spans="1:32">
      <c r="A680" s="11">
        <v>92000</v>
      </c>
      <c r="B680" s="11">
        <v>22706</v>
      </c>
      <c r="C680" s="42" t="s">
        <v>903</v>
      </c>
      <c r="D680" s="7">
        <v>52000</v>
      </c>
      <c r="E680" s="7"/>
      <c r="F680" s="7">
        <f t="shared" si="455"/>
        <v>52000</v>
      </c>
      <c r="G680" s="7"/>
      <c r="H680" s="7">
        <f t="shared" si="456"/>
        <v>52000</v>
      </c>
      <c r="I680" s="1"/>
      <c r="J680" s="1">
        <f t="shared" si="457"/>
        <v>52000</v>
      </c>
      <c r="K680" s="1"/>
      <c r="L680" s="1">
        <f t="shared" si="459"/>
        <v>52000</v>
      </c>
      <c r="M680" s="10">
        <v>-20000</v>
      </c>
      <c r="N680" s="1">
        <f t="shared" si="460"/>
        <v>32000</v>
      </c>
      <c r="O680" s="1"/>
      <c r="Q680" s="1">
        <f t="shared" si="461"/>
        <v>32000</v>
      </c>
      <c r="R680" s="1">
        <v>50000</v>
      </c>
      <c r="S680" s="1">
        <f>R680-Q680</f>
        <v>18000</v>
      </c>
      <c r="T680" s="1">
        <f t="shared" si="458"/>
        <v>50000</v>
      </c>
      <c r="U680" s="1">
        <v>50000</v>
      </c>
      <c r="V680" s="1">
        <f t="shared" si="451"/>
        <v>0</v>
      </c>
      <c r="W680" s="1">
        <f>T680+V680</f>
        <v>50000</v>
      </c>
      <c r="X680" s="1">
        <f>(84000*1.21)+25000</f>
        <v>126640</v>
      </c>
      <c r="Y680" s="41">
        <f t="shared" si="453"/>
        <v>76640</v>
      </c>
      <c r="Z680" s="1">
        <f t="shared" si="462"/>
        <v>126640</v>
      </c>
      <c r="AA680" s="1">
        <f>126640-18000-18000</f>
        <v>90640</v>
      </c>
      <c r="AB680" s="1">
        <f t="shared" si="448"/>
        <v>-36000</v>
      </c>
      <c r="AC680" s="1">
        <f t="shared" si="449"/>
        <v>90640</v>
      </c>
      <c r="AD680" s="41">
        <v>40000</v>
      </c>
      <c r="AE680" s="1">
        <f t="shared" si="435"/>
        <v>-50640</v>
      </c>
      <c r="AF680" s="1">
        <f t="shared" si="436"/>
        <v>40000</v>
      </c>
    </row>
    <row r="681" spans="1:32">
      <c r="A681" s="11">
        <v>92020</v>
      </c>
      <c r="B681" s="11">
        <v>22706</v>
      </c>
      <c r="C681" s="42" t="s">
        <v>904</v>
      </c>
      <c r="D681" s="7">
        <v>26000</v>
      </c>
      <c r="E681" s="7">
        <v>30000</v>
      </c>
      <c r="F681" s="7">
        <f t="shared" si="455"/>
        <v>-4000</v>
      </c>
      <c r="G681" s="7">
        <v>4000</v>
      </c>
      <c r="H681" s="7">
        <f t="shared" si="456"/>
        <v>30000</v>
      </c>
      <c r="I681" s="8"/>
      <c r="J681" s="7">
        <f t="shared" si="457"/>
        <v>30000</v>
      </c>
      <c r="K681" s="8"/>
      <c r="L681" s="7">
        <v>30000</v>
      </c>
      <c r="M681" s="7">
        <v>0</v>
      </c>
      <c r="N681" s="7">
        <f t="shared" si="460"/>
        <v>30000</v>
      </c>
      <c r="O681" s="7"/>
      <c r="Q681" s="1">
        <f t="shared" si="461"/>
        <v>30000</v>
      </c>
      <c r="T681" s="1">
        <f t="shared" si="458"/>
        <v>30000</v>
      </c>
      <c r="U681" s="1">
        <v>36300</v>
      </c>
      <c r="V681" s="1">
        <f t="shared" si="451"/>
        <v>6300</v>
      </c>
      <c r="W681" s="1">
        <f>T681+V681</f>
        <v>36300</v>
      </c>
      <c r="X681" s="1">
        <v>36300</v>
      </c>
      <c r="Y681" s="41">
        <f t="shared" si="453"/>
        <v>0</v>
      </c>
      <c r="Z681" s="1">
        <f t="shared" si="462"/>
        <v>36300</v>
      </c>
      <c r="AA681" s="1">
        <v>41000</v>
      </c>
      <c r="AB681" s="1">
        <f t="shared" si="448"/>
        <v>4700</v>
      </c>
      <c r="AC681" s="1">
        <f t="shared" si="449"/>
        <v>41000</v>
      </c>
      <c r="AD681" s="41">
        <v>41000</v>
      </c>
      <c r="AE681" s="1">
        <f t="shared" si="435"/>
        <v>0</v>
      </c>
      <c r="AF681" s="1">
        <f t="shared" si="436"/>
        <v>41000</v>
      </c>
    </row>
    <row r="682" spans="1:32">
      <c r="A682" s="11">
        <v>92400</v>
      </c>
      <c r="B682" s="11">
        <v>22706</v>
      </c>
      <c r="C682" s="42" t="s">
        <v>898</v>
      </c>
      <c r="D682" s="7"/>
      <c r="E682" s="7"/>
      <c r="F682" s="7"/>
      <c r="G682" s="7"/>
      <c r="H682" s="7"/>
      <c r="I682" s="1"/>
      <c r="J682" s="1"/>
      <c r="K682" s="1"/>
      <c r="L682" s="1"/>
      <c r="N682" s="1"/>
      <c r="O682" s="1"/>
      <c r="T682" s="1"/>
      <c r="V682" s="1"/>
      <c r="W682" s="1">
        <v>0</v>
      </c>
      <c r="X682" s="1">
        <f>30250+10000</f>
        <v>40250</v>
      </c>
      <c r="Y682" s="41">
        <f t="shared" si="453"/>
        <v>40250</v>
      </c>
      <c r="Z682" s="1">
        <f t="shared" si="462"/>
        <v>40250</v>
      </c>
      <c r="AA682" s="1">
        <v>40250</v>
      </c>
      <c r="AB682" s="1">
        <f t="shared" si="448"/>
        <v>0</v>
      </c>
      <c r="AC682" s="1">
        <f t="shared" si="449"/>
        <v>40250</v>
      </c>
      <c r="AD682" s="41">
        <v>40000</v>
      </c>
      <c r="AE682" s="1">
        <f t="shared" si="435"/>
        <v>-250</v>
      </c>
      <c r="AF682" s="1">
        <f t="shared" si="436"/>
        <v>40000</v>
      </c>
    </row>
    <row r="683" spans="1:32">
      <c r="A683" s="11">
        <v>92600</v>
      </c>
      <c r="B683" s="11">
        <v>22706</v>
      </c>
      <c r="C683" s="11" t="s">
        <v>293</v>
      </c>
      <c r="D683" s="7">
        <v>10000</v>
      </c>
      <c r="E683" s="7"/>
      <c r="F683" s="7">
        <f>D683-E683</f>
        <v>10000</v>
      </c>
      <c r="G683" s="7"/>
      <c r="H683" s="7">
        <f>D683+G683</f>
        <v>10000</v>
      </c>
      <c r="I683" s="7"/>
      <c r="J683" s="7">
        <f>H683-I683</f>
        <v>10000</v>
      </c>
      <c r="K683" s="7"/>
      <c r="L683" s="7">
        <v>10000</v>
      </c>
      <c r="M683" s="7">
        <v>0</v>
      </c>
      <c r="N683" s="7">
        <f>L683+M683</f>
        <v>10000</v>
      </c>
      <c r="O683" s="7"/>
      <c r="Q683" s="1">
        <f>N683+P683</f>
        <v>10000</v>
      </c>
      <c r="T683" s="1">
        <f>Q683+S683</f>
        <v>10000</v>
      </c>
      <c r="U683" s="1">
        <f>R683+T683</f>
        <v>10000</v>
      </c>
      <c r="V683" s="1">
        <f t="shared" ref="V683:V689" si="463">U683-T683</f>
        <v>0</v>
      </c>
      <c r="W683" s="1">
        <f t="shared" ref="W683:W690" si="464">T683+V683</f>
        <v>10000</v>
      </c>
      <c r="X683" s="1">
        <v>15000</v>
      </c>
      <c r="Y683" s="41">
        <f t="shared" si="453"/>
        <v>5000</v>
      </c>
      <c r="Z683" s="1">
        <f t="shared" si="462"/>
        <v>15000</v>
      </c>
      <c r="AA683" s="1">
        <v>15000</v>
      </c>
      <c r="AB683" s="1">
        <f t="shared" si="448"/>
        <v>0</v>
      </c>
      <c r="AC683" s="1">
        <f t="shared" si="449"/>
        <v>15000</v>
      </c>
      <c r="AD683" s="41">
        <f>15000+15000</f>
        <v>30000</v>
      </c>
      <c r="AE683" s="1">
        <f t="shared" si="435"/>
        <v>15000</v>
      </c>
      <c r="AF683" s="1">
        <f t="shared" si="436"/>
        <v>30000</v>
      </c>
    </row>
    <row r="684" spans="1:32">
      <c r="A684" s="11">
        <v>93100</v>
      </c>
      <c r="B684" s="11">
        <v>22706</v>
      </c>
      <c r="C684" s="39" t="s">
        <v>733</v>
      </c>
      <c r="D684" s="7"/>
      <c r="E684" s="7"/>
      <c r="F684" s="7"/>
      <c r="G684" s="7"/>
      <c r="H684" s="7"/>
      <c r="I684" s="1"/>
      <c r="J684" s="1"/>
      <c r="K684" s="1"/>
      <c r="L684" s="1"/>
      <c r="N684" s="1"/>
      <c r="O684" s="1"/>
      <c r="T684" s="1">
        <v>0</v>
      </c>
      <c r="U684" s="1">
        <v>160000</v>
      </c>
      <c r="V684" s="1">
        <f t="shared" si="463"/>
        <v>160000</v>
      </c>
      <c r="W684" s="1">
        <f t="shared" si="464"/>
        <v>160000</v>
      </c>
      <c r="X684" s="1">
        <v>60000</v>
      </c>
      <c r="Y684" s="41">
        <f t="shared" si="453"/>
        <v>-100000</v>
      </c>
      <c r="Z684" s="1">
        <f t="shared" si="462"/>
        <v>60000</v>
      </c>
      <c r="AA684" s="1">
        <f>60000+87500</f>
        <v>147500</v>
      </c>
      <c r="AB684" s="1">
        <f t="shared" si="448"/>
        <v>87500</v>
      </c>
      <c r="AC684" s="1">
        <f t="shared" si="449"/>
        <v>147500</v>
      </c>
      <c r="AD684" s="41">
        <v>150000</v>
      </c>
      <c r="AE684" s="1">
        <f t="shared" si="435"/>
        <v>2500</v>
      </c>
      <c r="AF684" s="1">
        <f t="shared" si="436"/>
        <v>150000</v>
      </c>
    </row>
    <row r="685" spans="1:32">
      <c r="A685" s="11">
        <v>93100</v>
      </c>
      <c r="B685" s="11">
        <v>22708</v>
      </c>
      <c r="C685" s="11" t="s">
        <v>500</v>
      </c>
      <c r="D685" s="7">
        <v>1170000</v>
      </c>
      <c r="E685" s="7">
        <v>1200000</v>
      </c>
      <c r="F685" s="7">
        <f>D685-E685</f>
        <v>-30000</v>
      </c>
      <c r="G685" s="7">
        <v>30000</v>
      </c>
      <c r="H685" s="7">
        <f>D685+G685</f>
        <v>1200000</v>
      </c>
      <c r="I685" s="1"/>
      <c r="J685" s="1">
        <f>H685-I685</f>
        <v>1200000</v>
      </c>
      <c r="K685" s="1"/>
      <c r="L685" s="1">
        <f>H685+K685</f>
        <v>1200000</v>
      </c>
      <c r="N685" s="1">
        <f>L685+M685</f>
        <v>1200000</v>
      </c>
      <c r="O685" s="1"/>
      <c r="P685" s="1">
        <v>30000</v>
      </c>
      <c r="Q685" s="1">
        <f>N685+P685</f>
        <v>1230000</v>
      </c>
      <c r="S685" s="1">
        <v>-30000</v>
      </c>
      <c r="T685" s="1">
        <f>Q685+S685</f>
        <v>1200000</v>
      </c>
      <c r="U685" s="1">
        <v>1200000</v>
      </c>
      <c r="V685" s="1">
        <f t="shared" si="463"/>
        <v>0</v>
      </c>
      <c r="W685" s="1">
        <f t="shared" si="464"/>
        <v>1200000</v>
      </c>
      <c r="X685" s="1">
        <v>1225000</v>
      </c>
      <c r="Y685" s="41">
        <f t="shared" si="453"/>
        <v>25000</v>
      </c>
      <c r="Z685" s="1">
        <f t="shared" si="462"/>
        <v>1225000</v>
      </c>
      <c r="AA685" s="1">
        <f>1225000+20000</f>
        <v>1245000</v>
      </c>
      <c r="AB685" s="1">
        <f t="shared" si="448"/>
        <v>20000</v>
      </c>
      <c r="AC685" s="1">
        <f t="shared" si="449"/>
        <v>1245000</v>
      </c>
      <c r="AD685" s="41">
        <v>0</v>
      </c>
      <c r="AE685" s="1">
        <f t="shared" si="435"/>
        <v>-1245000</v>
      </c>
      <c r="AF685" s="1">
        <f t="shared" si="436"/>
        <v>0</v>
      </c>
    </row>
    <row r="686" spans="1:32">
      <c r="A686" s="11">
        <v>16210</v>
      </c>
      <c r="B686" s="11">
        <v>22799</v>
      </c>
      <c r="C686" s="11" t="s">
        <v>405</v>
      </c>
      <c r="D686" s="7">
        <v>6625694.9000000004</v>
      </c>
      <c r="E686" s="7">
        <f>4851706.61+60000+1713000</f>
        <v>6624706.6100000003</v>
      </c>
      <c r="F686" s="7">
        <f>D686-E686</f>
        <v>988.29000000003725</v>
      </c>
      <c r="G686" s="7">
        <v>-988.29</v>
      </c>
      <c r="H686" s="7">
        <f>D686+G686</f>
        <v>6624706.6100000003</v>
      </c>
      <c r="I686" s="1">
        <f>4971199+1800000</f>
        <v>6771199</v>
      </c>
      <c r="J686" s="1">
        <f>H686-I686</f>
        <v>-146492.38999999966</v>
      </c>
      <c r="K686" s="1">
        <v>146492.39000000001</v>
      </c>
      <c r="L686" s="1">
        <f>H686+K686</f>
        <v>6771199</v>
      </c>
      <c r="N686" s="1">
        <f>L686+M686</f>
        <v>6771199</v>
      </c>
      <c r="O686" s="1"/>
      <c r="P686" s="1">
        <f>5276290+50000+1662540+280000-N686</f>
        <v>497631</v>
      </c>
      <c r="Q686" s="1">
        <f>N686+P686</f>
        <v>7268830</v>
      </c>
      <c r="R686" s="1">
        <v>0</v>
      </c>
      <c r="S686" s="1">
        <v>-58830</v>
      </c>
      <c r="T686" s="1">
        <f>Q686+S686</f>
        <v>7210000</v>
      </c>
      <c r="U686" s="1">
        <f>(445000*12)</f>
        <v>5340000</v>
      </c>
      <c r="V686" s="1">
        <f t="shared" si="463"/>
        <v>-1870000</v>
      </c>
      <c r="W686" s="1">
        <f t="shared" si="464"/>
        <v>5340000</v>
      </c>
      <c r="X686" s="1">
        <v>5340000</v>
      </c>
      <c r="Y686" s="41">
        <f t="shared" si="453"/>
        <v>0</v>
      </c>
      <c r="Z686" s="1">
        <f>W686+Y687</f>
        <v>5340000</v>
      </c>
      <c r="AA686" s="1">
        <v>5340000</v>
      </c>
      <c r="AB686" s="1">
        <f t="shared" si="448"/>
        <v>0</v>
      </c>
      <c r="AC686" s="1">
        <f t="shared" si="449"/>
        <v>5340000</v>
      </c>
      <c r="AD686" s="41">
        <v>5340000</v>
      </c>
      <c r="AE686" s="1">
        <f t="shared" si="435"/>
        <v>0</v>
      </c>
      <c r="AF686" s="1">
        <f t="shared" si="436"/>
        <v>5340000</v>
      </c>
    </row>
    <row r="687" spans="1:32">
      <c r="A687" s="11">
        <v>16210</v>
      </c>
      <c r="B687" s="11">
        <v>22799</v>
      </c>
      <c r="C687" s="11" t="s">
        <v>406</v>
      </c>
      <c r="D687" s="7">
        <v>140000</v>
      </c>
      <c r="E687" s="7"/>
      <c r="F687" s="7">
        <f>D687-E687</f>
        <v>140000</v>
      </c>
      <c r="G687" s="7">
        <v>-20000</v>
      </c>
      <c r="H687" s="7">
        <f>D687+G687</f>
        <v>120000</v>
      </c>
      <c r="I687" s="1"/>
      <c r="J687" s="1">
        <f>H687-I687</f>
        <v>120000</v>
      </c>
      <c r="K687" s="1"/>
      <c r="L687" s="1">
        <f>H687+K687</f>
        <v>120000</v>
      </c>
      <c r="M687" s="7">
        <v>50000</v>
      </c>
      <c r="N687" s="1">
        <f>L687+M687</f>
        <v>170000</v>
      </c>
      <c r="O687" s="1"/>
      <c r="P687" s="1">
        <v>-70000</v>
      </c>
      <c r="Q687" s="1">
        <f>N687+P687</f>
        <v>100000</v>
      </c>
      <c r="R687" s="1">
        <f>(5242.42*12)+16500</f>
        <v>79409.040000000008</v>
      </c>
      <c r="S687" s="1">
        <f>R687-Q687+16500</f>
        <v>-4090.9599999999919</v>
      </c>
      <c r="T687" s="1">
        <f>Q687+S687</f>
        <v>95909.040000000008</v>
      </c>
      <c r="U687" s="1">
        <v>70000</v>
      </c>
      <c r="V687" s="1">
        <f t="shared" si="463"/>
        <v>-25909.040000000008</v>
      </c>
      <c r="W687" s="1">
        <f t="shared" si="464"/>
        <v>70000</v>
      </c>
      <c r="X687" s="1">
        <v>70000</v>
      </c>
      <c r="Y687" s="41">
        <f t="shared" si="453"/>
        <v>0</v>
      </c>
      <c r="Z687" s="1">
        <f>W687+Y688</f>
        <v>70000</v>
      </c>
      <c r="AA687" s="1">
        <v>70000</v>
      </c>
      <c r="AB687" s="1">
        <f t="shared" si="448"/>
        <v>0</v>
      </c>
      <c r="AC687" s="1">
        <f t="shared" si="449"/>
        <v>70000</v>
      </c>
      <c r="AD687" s="41">
        <v>70000</v>
      </c>
      <c r="AE687" s="1">
        <f t="shared" si="435"/>
        <v>0</v>
      </c>
      <c r="AF687" s="1">
        <f t="shared" si="436"/>
        <v>70000</v>
      </c>
    </row>
    <row r="688" spans="1:32">
      <c r="A688" s="11">
        <v>16220</v>
      </c>
      <c r="B688" s="50">
        <v>22799</v>
      </c>
      <c r="C688" s="51" t="s">
        <v>720</v>
      </c>
      <c r="D688" s="7"/>
      <c r="E688" s="7"/>
      <c r="F688" s="7"/>
      <c r="G688" s="7"/>
      <c r="H688" s="7"/>
      <c r="I688" s="1"/>
      <c r="J688" s="1"/>
      <c r="K688" s="1"/>
      <c r="L688" s="1"/>
      <c r="N688" s="1"/>
      <c r="O688" s="1"/>
      <c r="T688" s="1">
        <v>0</v>
      </c>
      <c r="U688" s="1">
        <v>550000</v>
      </c>
      <c r="V688" s="1">
        <f t="shared" si="463"/>
        <v>550000</v>
      </c>
      <c r="W688" s="1">
        <f t="shared" si="464"/>
        <v>550000</v>
      </c>
      <c r="X688" s="1">
        <v>550000</v>
      </c>
      <c r="Y688" s="41">
        <f t="shared" si="453"/>
        <v>0</v>
      </c>
      <c r="Z688" s="1">
        <f>W688+Y689</f>
        <v>550000</v>
      </c>
      <c r="AA688" s="1">
        <v>440000</v>
      </c>
      <c r="AB688" s="1">
        <f t="shared" si="448"/>
        <v>-110000</v>
      </c>
      <c r="AC688" s="1">
        <f t="shared" si="449"/>
        <v>440000</v>
      </c>
      <c r="AD688" s="41">
        <v>400000</v>
      </c>
      <c r="AE688" s="1">
        <f t="shared" si="435"/>
        <v>-40000</v>
      </c>
      <c r="AF688" s="1">
        <f t="shared" si="436"/>
        <v>400000</v>
      </c>
    </row>
    <row r="689" spans="1:32">
      <c r="A689" s="11">
        <v>16230</v>
      </c>
      <c r="B689" s="50">
        <v>22799</v>
      </c>
      <c r="C689" s="51" t="s">
        <v>721</v>
      </c>
      <c r="D689" s="7"/>
      <c r="E689" s="7"/>
      <c r="F689" s="7"/>
      <c r="G689" s="7"/>
      <c r="H689" s="7"/>
      <c r="I689" s="1"/>
      <c r="J689" s="1"/>
      <c r="K689" s="1"/>
      <c r="L689" s="1"/>
      <c r="N689" s="1"/>
      <c r="O689" s="1"/>
      <c r="T689" s="1">
        <v>0</v>
      </c>
      <c r="U689" s="1">
        <v>1200000</v>
      </c>
      <c r="V689" s="1">
        <f t="shared" si="463"/>
        <v>1200000</v>
      </c>
      <c r="W689" s="1">
        <f t="shared" si="464"/>
        <v>1200000</v>
      </c>
      <c r="X689" s="1">
        <v>1200000</v>
      </c>
      <c r="Y689" s="41">
        <f t="shared" si="453"/>
        <v>0</v>
      </c>
      <c r="Z689" s="1">
        <v>1200000</v>
      </c>
      <c r="AA689" s="1">
        <v>1340000</v>
      </c>
      <c r="AB689" s="1">
        <f t="shared" si="448"/>
        <v>140000</v>
      </c>
      <c r="AC689" s="1">
        <f t="shared" si="449"/>
        <v>1340000</v>
      </c>
      <c r="AD689" s="41">
        <f>1340000+90000-798882.27</f>
        <v>631117.73</v>
      </c>
      <c r="AE689" s="1">
        <f t="shared" si="435"/>
        <v>-708882.27</v>
      </c>
      <c r="AF689" s="1">
        <f t="shared" si="436"/>
        <v>631117.73</v>
      </c>
    </row>
    <row r="690" spans="1:32">
      <c r="A690" s="42">
        <v>16300</v>
      </c>
      <c r="B690" s="52">
        <v>22799</v>
      </c>
      <c r="C690" s="52" t="s">
        <v>727</v>
      </c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1"/>
      <c r="S690" s="47"/>
      <c r="T690" s="47">
        <v>0</v>
      </c>
      <c r="U690" s="47"/>
      <c r="V690" s="47">
        <v>0</v>
      </c>
      <c r="W690" s="41">
        <f t="shared" si="464"/>
        <v>0</v>
      </c>
      <c r="X690" s="41">
        <v>0</v>
      </c>
      <c r="Y690" s="41">
        <f t="shared" si="453"/>
        <v>0</v>
      </c>
      <c r="Z690" s="1">
        <f>W690+Y690</f>
        <v>0</v>
      </c>
      <c r="AA690" s="41">
        <v>0</v>
      </c>
      <c r="AB690" s="1">
        <f t="shared" si="448"/>
        <v>0</v>
      </c>
      <c r="AC690" s="1">
        <f t="shared" si="449"/>
        <v>0</v>
      </c>
      <c r="AD690" s="41">
        <v>0</v>
      </c>
      <c r="AE690" s="1">
        <f t="shared" si="435"/>
        <v>0</v>
      </c>
      <c r="AF690" s="1">
        <f t="shared" si="436"/>
        <v>0</v>
      </c>
    </row>
    <row r="691" spans="1:32">
      <c r="A691" s="42">
        <v>17000</v>
      </c>
      <c r="B691" s="11">
        <v>22799</v>
      </c>
      <c r="C691" s="39" t="s">
        <v>876</v>
      </c>
      <c r="D691" s="7"/>
      <c r="E691" s="7"/>
      <c r="F691" s="7"/>
      <c r="G691" s="7"/>
      <c r="H691" s="7"/>
      <c r="I691" s="1"/>
      <c r="J691" s="1"/>
      <c r="K691" s="1"/>
      <c r="L691" s="1"/>
      <c r="N691" s="1"/>
      <c r="O691" s="1"/>
      <c r="T691" s="1"/>
      <c r="V691" s="1"/>
      <c r="W691" s="1"/>
      <c r="Y691" s="41"/>
      <c r="Z691" s="1">
        <v>0</v>
      </c>
      <c r="AA691" s="1">
        <v>30000</v>
      </c>
      <c r="AB691" s="1">
        <f t="shared" si="448"/>
        <v>30000</v>
      </c>
      <c r="AC691" s="1">
        <f t="shared" si="449"/>
        <v>30000</v>
      </c>
      <c r="AD691" s="41">
        <v>35000</v>
      </c>
      <c r="AE691" s="1">
        <f t="shared" si="435"/>
        <v>5000</v>
      </c>
      <c r="AF691" s="1">
        <f t="shared" si="436"/>
        <v>35000</v>
      </c>
    </row>
    <row r="692" spans="1:32">
      <c r="A692" s="13">
        <v>23110</v>
      </c>
      <c r="B692" s="11">
        <v>22799</v>
      </c>
      <c r="C692" s="42" t="s">
        <v>849</v>
      </c>
      <c r="D692" s="8"/>
      <c r="E692" s="8"/>
      <c r="F692" s="8"/>
      <c r="G692" s="8"/>
      <c r="H692" s="8"/>
      <c r="I692" s="8"/>
      <c r="J692" s="8"/>
      <c r="K692" s="8"/>
      <c r="L692" s="10">
        <v>18000</v>
      </c>
      <c r="M692" s="10">
        <v>0</v>
      </c>
      <c r="N692" s="7">
        <f t="shared" ref="N692:N711" si="465">L692+M692</f>
        <v>18000</v>
      </c>
      <c r="O692" s="7"/>
      <c r="P692" s="3"/>
      <c r="Q692" s="1">
        <f t="shared" ref="Q692:Q711" si="466">N692+P692</f>
        <v>18000</v>
      </c>
      <c r="R692" s="3"/>
      <c r="S692" s="3"/>
      <c r="T692" s="1">
        <f t="shared" ref="T692:U694" si="467">Q692+S692</f>
        <v>18000</v>
      </c>
      <c r="U692" s="1">
        <f t="shared" si="467"/>
        <v>18000</v>
      </c>
      <c r="V692" s="1">
        <f t="shared" ref="V692:V711" si="468">U692-T692</f>
        <v>0</v>
      </c>
      <c r="W692" s="1">
        <f t="shared" ref="W692:W711" si="469">T692+V692</f>
        <v>18000</v>
      </c>
      <c r="X692" s="41">
        <v>18000</v>
      </c>
      <c r="Y692" s="41">
        <f t="shared" ref="Y692:Y711" si="470">X692-W692</f>
        <v>0</v>
      </c>
      <c r="Z692" s="1">
        <f t="shared" ref="Z692:Z711" si="471">W692+Y692</f>
        <v>18000</v>
      </c>
      <c r="AA692" s="41">
        <v>125000</v>
      </c>
      <c r="AB692" s="41">
        <f t="shared" si="448"/>
        <v>107000</v>
      </c>
      <c r="AC692" s="1">
        <f t="shared" si="449"/>
        <v>125000</v>
      </c>
      <c r="AD692" s="41">
        <v>130000</v>
      </c>
      <c r="AE692" s="1">
        <f t="shared" si="435"/>
        <v>5000</v>
      </c>
      <c r="AF692" s="1">
        <f t="shared" si="436"/>
        <v>130000</v>
      </c>
    </row>
    <row r="693" spans="1:32">
      <c r="A693" s="13">
        <v>23111</v>
      </c>
      <c r="B693" s="11">
        <v>22799</v>
      </c>
      <c r="C693" s="11" t="s">
        <v>335</v>
      </c>
      <c r="D693" s="7">
        <v>28250</v>
      </c>
      <c r="E693" s="7">
        <v>26500</v>
      </c>
      <c r="F693" s="7">
        <f t="shared" ref="F693:F700" si="472">D693-E693</f>
        <v>1750</v>
      </c>
      <c r="G693" s="7">
        <v>-1750</v>
      </c>
      <c r="H693" s="7">
        <f t="shared" ref="H693:H700" si="473">D693+G693</f>
        <v>26500</v>
      </c>
      <c r="I693" s="7">
        <v>23000</v>
      </c>
      <c r="J693" s="7">
        <f t="shared" ref="J693:J700" si="474">H693-I693</f>
        <v>3500</v>
      </c>
      <c r="K693" s="7">
        <v>-3500</v>
      </c>
      <c r="L693" s="7">
        <v>23000</v>
      </c>
      <c r="M693" s="10">
        <v>0</v>
      </c>
      <c r="N693" s="7">
        <f t="shared" si="465"/>
        <v>23000</v>
      </c>
      <c r="O693" s="7"/>
      <c r="Q693" s="1">
        <f t="shared" si="466"/>
        <v>23000</v>
      </c>
      <c r="T693" s="1">
        <f t="shared" si="467"/>
        <v>23000</v>
      </c>
      <c r="U693" s="1">
        <f t="shared" si="467"/>
        <v>23000</v>
      </c>
      <c r="V693" s="1">
        <f t="shared" si="468"/>
        <v>0</v>
      </c>
      <c r="W693" s="1">
        <f t="shared" si="469"/>
        <v>23000</v>
      </c>
      <c r="X693" s="1">
        <v>23000</v>
      </c>
      <c r="Y693" s="41">
        <f t="shared" si="470"/>
        <v>0</v>
      </c>
      <c r="Z693" s="1">
        <f t="shared" si="471"/>
        <v>23000</v>
      </c>
      <c r="AA693" s="1">
        <v>23000</v>
      </c>
      <c r="AB693" s="41">
        <f t="shared" si="448"/>
        <v>0</v>
      </c>
      <c r="AC693" s="1">
        <f t="shared" si="449"/>
        <v>23000</v>
      </c>
      <c r="AD693" s="41">
        <v>23000</v>
      </c>
      <c r="AE693" s="1">
        <f t="shared" si="435"/>
        <v>0</v>
      </c>
      <c r="AF693" s="1">
        <f t="shared" si="436"/>
        <v>23000</v>
      </c>
    </row>
    <row r="694" spans="1:32">
      <c r="A694" s="11">
        <v>91200</v>
      </c>
      <c r="B694" s="11">
        <v>23000</v>
      </c>
      <c r="C694" s="11" t="s">
        <v>703</v>
      </c>
      <c r="D694" s="7">
        <v>150000</v>
      </c>
      <c r="E694" s="7"/>
      <c r="F694" s="7">
        <f t="shared" si="472"/>
        <v>150000</v>
      </c>
      <c r="G694" s="7"/>
      <c r="H694" s="7">
        <f t="shared" si="473"/>
        <v>150000</v>
      </c>
      <c r="I694" s="1"/>
      <c r="J694" s="1">
        <f t="shared" si="474"/>
        <v>150000</v>
      </c>
      <c r="K694" s="1"/>
      <c r="L694" s="1">
        <f t="shared" ref="L694:L700" si="475">H694+K694</f>
        <v>150000</v>
      </c>
      <c r="N694" s="1">
        <f t="shared" si="465"/>
        <v>150000</v>
      </c>
      <c r="O694" s="1"/>
      <c r="Q694" s="1">
        <f t="shared" si="466"/>
        <v>150000</v>
      </c>
      <c r="T694" s="1">
        <f t="shared" si="467"/>
        <v>150000</v>
      </c>
      <c r="U694" s="1">
        <f t="shared" si="467"/>
        <v>150000</v>
      </c>
      <c r="V694" s="1">
        <f t="shared" si="468"/>
        <v>0</v>
      </c>
      <c r="W694" s="1">
        <f t="shared" si="469"/>
        <v>150000</v>
      </c>
      <c r="X694" s="1">
        <v>160000</v>
      </c>
      <c r="Y694" s="41">
        <f t="shared" si="470"/>
        <v>10000</v>
      </c>
      <c r="Z694" s="1">
        <f t="shared" si="471"/>
        <v>160000</v>
      </c>
      <c r="AA694" s="41">
        <v>160000</v>
      </c>
      <c r="AB694" s="1">
        <f t="shared" si="448"/>
        <v>0</v>
      </c>
      <c r="AC694" s="1">
        <f t="shared" si="449"/>
        <v>160000</v>
      </c>
      <c r="AD694" s="41">
        <v>195000</v>
      </c>
      <c r="AE694" s="1">
        <f t="shared" si="435"/>
        <v>35000</v>
      </c>
      <c r="AF694" s="1">
        <f t="shared" si="436"/>
        <v>195000</v>
      </c>
    </row>
    <row r="695" spans="1:32">
      <c r="A695" s="11">
        <v>93100</v>
      </c>
      <c r="B695" s="11">
        <v>23001</v>
      </c>
      <c r="C695" s="11" t="s">
        <v>501</v>
      </c>
      <c r="D695" s="7">
        <v>1202.02</v>
      </c>
      <c r="E695" s="7"/>
      <c r="F695" s="7">
        <f t="shared" si="472"/>
        <v>1202.02</v>
      </c>
      <c r="G695" s="7">
        <v>-202</v>
      </c>
      <c r="H695" s="7">
        <f t="shared" si="473"/>
        <v>1000.02</v>
      </c>
      <c r="I695" s="1"/>
      <c r="J695" s="1">
        <f t="shared" si="474"/>
        <v>1000.02</v>
      </c>
      <c r="K695" s="1"/>
      <c r="L695" s="1">
        <f t="shared" si="475"/>
        <v>1000.02</v>
      </c>
      <c r="N695" s="1">
        <f t="shared" si="465"/>
        <v>1000.02</v>
      </c>
      <c r="O695" s="1"/>
      <c r="Q695" s="1">
        <f t="shared" si="466"/>
        <v>1000.02</v>
      </c>
      <c r="T695" s="1">
        <f t="shared" ref="T695:T711" si="476">Q695+S695</f>
        <v>1000.02</v>
      </c>
      <c r="U695" s="1">
        <v>1000</v>
      </c>
      <c r="V695" s="1">
        <f t="shared" si="468"/>
        <v>-1.999999999998181E-2</v>
      </c>
      <c r="W695" s="1">
        <f t="shared" si="469"/>
        <v>1000</v>
      </c>
      <c r="X695" s="1">
        <v>1000</v>
      </c>
      <c r="Y695" s="41">
        <f t="shared" si="470"/>
        <v>0</v>
      </c>
      <c r="Z695" s="1">
        <f t="shared" si="471"/>
        <v>1000</v>
      </c>
      <c r="AA695" s="1">
        <v>1000</v>
      </c>
      <c r="AB695" s="1">
        <f t="shared" ref="AB695:AB726" si="477">AA695-Z695</f>
        <v>0</v>
      </c>
      <c r="AC695" s="1">
        <f t="shared" ref="AC695:AC726" si="478">Z695+AB695</f>
        <v>1000</v>
      </c>
      <c r="AD695" s="41">
        <v>1000</v>
      </c>
      <c r="AE695" s="1">
        <f t="shared" si="435"/>
        <v>0</v>
      </c>
      <c r="AF695" s="1">
        <f t="shared" si="436"/>
        <v>1000</v>
      </c>
    </row>
    <row r="696" spans="1:32">
      <c r="A696" s="11">
        <v>13200</v>
      </c>
      <c r="B696" s="11">
        <v>23002</v>
      </c>
      <c r="C696" s="11" t="s">
        <v>308</v>
      </c>
      <c r="D696" s="7">
        <v>0</v>
      </c>
      <c r="E696" s="7">
        <v>1000</v>
      </c>
      <c r="F696" s="7">
        <f t="shared" si="472"/>
        <v>-1000</v>
      </c>
      <c r="G696" s="7">
        <v>1000</v>
      </c>
      <c r="H696" s="7">
        <f t="shared" si="473"/>
        <v>1000</v>
      </c>
      <c r="I696" s="1"/>
      <c r="J696" s="1">
        <f t="shared" si="474"/>
        <v>1000</v>
      </c>
      <c r="K696" s="1"/>
      <c r="L696" s="1">
        <f t="shared" si="475"/>
        <v>1000</v>
      </c>
      <c r="N696" s="1">
        <f t="shared" si="465"/>
        <v>1000</v>
      </c>
      <c r="O696" s="1"/>
      <c r="Q696" s="1">
        <f t="shared" si="466"/>
        <v>1000</v>
      </c>
      <c r="T696" s="1">
        <f t="shared" si="476"/>
        <v>1000</v>
      </c>
      <c r="U696" s="1">
        <f t="shared" ref="U696:U709" si="479">R696+T696</f>
        <v>1000</v>
      </c>
      <c r="V696" s="1">
        <f t="shared" si="468"/>
        <v>0</v>
      </c>
      <c r="W696" s="1">
        <f t="shared" si="469"/>
        <v>1000</v>
      </c>
      <c r="X696" s="1">
        <v>1000</v>
      </c>
      <c r="Y696" s="41">
        <f t="shared" si="470"/>
        <v>0</v>
      </c>
      <c r="Z696" s="1">
        <f t="shared" si="471"/>
        <v>1000</v>
      </c>
      <c r="AA696" s="1">
        <v>1000</v>
      </c>
      <c r="AB696" s="1">
        <f t="shared" si="477"/>
        <v>0</v>
      </c>
      <c r="AC696" s="1">
        <f t="shared" si="478"/>
        <v>1000</v>
      </c>
      <c r="AD696" s="41">
        <v>1000</v>
      </c>
      <c r="AE696" s="1">
        <f t="shared" si="435"/>
        <v>0</v>
      </c>
      <c r="AF696" s="1">
        <f t="shared" si="436"/>
        <v>1000</v>
      </c>
    </row>
    <row r="697" spans="1:32">
      <c r="A697" s="11">
        <v>13000</v>
      </c>
      <c r="B697" s="11">
        <v>23020</v>
      </c>
      <c r="C697" s="11" t="s">
        <v>276</v>
      </c>
      <c r="D697" s="7">
        <v>0</v>
      </c>
      <c r="E697" s="7"/>
      <c r="F697" s="7">
        <f t="shared" si="472"/>
        <v>0</v>
      </c>
      <c r="G697" s="7">
        <v>3005.06</v>
      </c>
      <c r="H697" s="7">
        <f t="shared" si="473"/>
        <v>3005.06</v>
      </c>
      <c r="I697" s="1"/>
      <c r="J697" s="1">
        <f t="shared" si="474"/>
        <v>3005.06</v>
      </c>
      <c r="K697" s="1"/>
      <c r="L697" s="1">
        <f t="shared" si="475"/>
        <v>3005.06</v>
      </c>
      <c r="N697" s="1">
        <f t="shared" si="465"/>
        <v>3005.06</v>
      </c>
      <c r="O697" s="1"/>
      <c r="Q697" s="1">
        <f t="shared" si="466"/>
        <v>3005.06</v>
      </c>
      <c r="T697" s="1">
        <f t="shared" si="476"/>
        <v>3005.06</v>
      </c>
      <c r="U697" s="1">
        <f t="shared" si="479"/>
        <v>3005.06</v>
      </c>
      <c r="V697" s="1">
        <f t="shared" si="468"/>
        <v>0</v>
      </c>
      <c r="W697" s="1">
        <f t="shared" si="469"/>
        <v>3005.06</v>
      </c>
      <c r="X697" s="1">
        <v>3000</v>
      </c>
      <c r="Y697" s="41">
        <f t="shared" si="470"/>
        <v>-5.0599999999999454</v>
      </c>
      <c r="Z697" s="1">
        <f t="shared" si="471"/>
        <v>3000</v>
      </c>
      <c r="AA697" s="1">
        <v>500</v>
      </c>
      <c r="AB697" s="1">
        <f t="shared" si="477"/>
        <v>-2500</v>
      </c>
      <c r="AC697" s="1">
        <f t="shared" si="478"/>
        <v>500</v>
      </c>
      <c r="AD697" s="41">
        <v>500</v>
      </c>
      <c r="AE697" s="1">
        <f t="shared" si="435"/>
        <v>0</v>
      </c>
      <c r="AF697" s="1">
        <f t="shared" si="436"/>
        <v>500</v>
      </c>
    </row>
    <row r="698" spans="1:32">
      <c r="A698" s="11">
        <v>15100</v>
      </c>
      <c r="B698" s="11">
        <v>23020</v>
      </c>
      <c r="C698" s="11" t="s">
        <v>379</v>
      </c>
      <c r="D698" s="7">
        <v>3202.02</v>
      </c>
      <c r="E698" s="7"/>
      <c r="F698" s="7">
        <f t="shared" si="472"/>
        <v>3202.02</v>
      </c>
      <c r="G698" s="7"/>
      <c r="H698" s="7">
        <f t="shared" si="473"/>
        <v>3202.02</v>
      </c>
      <c r="I698" s="1"/>
      <c r="J698" s="1">
        <f t="shared" si="474"/>
        <v>3202.02</v>
      </c>
      <c r="K698" s="1"/>
      <c r="L698" s="1">
        <f t="shared" si="475"/>
        <v>3202.02</v>
      </c>
      <c r="N698" s="1">
        <f t="shared" si="465"/>
        <v>3202.02</v>
      </c>
      <c r="O698" s="1"/>
      <c r="Q698" s="1">
        <f t="shared" si="466"/>
        <v>3202.02</v>
      </c>
      <c r="T698" s="1">
        <f t="shared" si="476"/>
        <v>3202.02</v>
      </c>
      <c r="U698" s="1">
        <f t="shared" si="479"/>
        <v>3202.02</v>
      </c>
      <c r="V698" s="1">
        <f t="shared" si="468"/>
        <v>0</v>
      </c>
      <c r="W698" s="1">
        <f t="shared" si="469"/>
        <v>3202.02</v>
      </c>
      <c r="X698" s="1">
        <v>1000</v>
      </c>
      <c r="Y698" s="41">
        <f t="shared" si="470"/>
        <v>-2202.02</v>
      </c>
      <c r="Z698" s="1">
        <f t="shared" si="471"/>
        <v>1000</v>
      </c>
      <c r="AA698" s="1">
        <v>500</v>
      </c>
      <c r="AB698" s="1">
        <f t="shared" si="477"/>
        <v>-500</v>
      </c>
      <c r="AC698" s="1">
        <f t="shared" si="478"/>
        <v>500</v>
      </c>
      <c r="AD698" s="41">
        <v>500</v>
      </c>
      <c r="AE698" s="1">
        <f t="shared" si="435"/>
        <v>0</v>
      </c>
      <c r="AF698" s="1">
        <f t="shared" si="436"/>
        <v>500</v>
      </c>
    </row>
    <row r="699" spans="1:32">
      <c r="A699" s="13">
        <v>17000</v>
      </c>
      <c r="B699" s="11">
        <v>23020</v>
      </c>
      <c r="C699" s="11" t="s">
        <v>385</v>
      </c>
      <c r="D699" s="7">
        <v>1000</v>
      </c>
      <c r="E699" s="7"/>
      <c r="F699" s="7">
        <f t="shared" si="472"/>
        <v>1000</v>
      </c>
      <c r="G699" s="7"/>
      <c r="H699" s="7">
        <f t="shared" si="473"/>
        <v>1000</v>
      </c>
      <c r="I699" s="1"/>
      <c r="J699" s="1">
        <f t="shared" si="474"/>
        <v>1000</v>
      </c>
      <c r="K699" s="1"/>
      <c r="L699" s="1">
        <f t="shared" si="475"/>
        <v>1000</v>
      </c>
      <c r="N699" s="1">
        <f t="shared" si="465"/>
        <v>1000</v>
      </c>
      <c r="O699" s="1"/>
      <c r="Q699" s="1">
        <f t="shared" si="466"/>
        <v>1000</v>
      </c>
      <c r="T699" s="1">
        <f t="shared" si="476"/>
        <v>1000</v>
      </c>
      <c r="U699" s="1">
        <f t="shared" si="479"/>
        <v>1000</v>
      </c>
      <c r="V699" s="1">
        <f t="shared" si="468"/>
        <v>0</v>
      </c>
      <c r="W699" s="1">
        <f t="shared" si="469"/>
        <v>1000</v>
      </c>
      <c r="X699" s="1">
        <v>1000</v>
      </c>
      <c r="Y699" s="41">
        <f t="shared" si="470"/>
        <v>0</v>
      </c>
      <c r="Z699" s="1">
        <f t="shared" si="471"/>
        <v>1000</v>
      </c>
      <c r="AA699" s="1">
        <v>1000</v>
      </c>
      <c r="AB699" s="1">
        <f t="shared" si="477"/>
        <v>0</v>
      </c>
      <c r="AC699" s="1">
        <f t="shared" si="478"/>
        <v>1000</v>
      </c>
      <c r="AD699" s="41">
        <v>1500</v>
      </c>
      <c r="AE699" s="1">
        <f t="shared" si="435"/>
        <v>500</v>
      </c>
      <c r="AF699" s="1">
        <f t="shared" si="436"/>
        <v>1500</v>
      </c>
    </row>
    <row r="700" spans="1:32">
      <c r="A700" s="13">
        <v>17100</v>
      </c>
      <c r="B700" s="11">
        <v>23020</v>
      </c>
      <c r="C700" s="11" t="s">
        <v>385</v>
      </c>
      <c r="D700" s="7">
        <v>1160</v>
      </c>
      <c r="E700" s="7"/>
      <c r="F700" s="7">
        <f t="shared" si="472"/>
        <v>1160</v>
      </c>
      <c r="G700" s="7"/>
      <c r="H700" s="7">
        <f t="shared" si="473"/>
        <v>1160</v>
      </c>
      <c r="I700" s="1"/>
      <c r="J700" s="1">
        <f t="shared" si="474"/>
        <v>1160</v>
      </c>
      <c r="K700" s="1"/>
      <c r="L700" s="1">
        <f t="shared" si="475"/>
        <v>1160</v>
      </c>
      <c r="M700" s="8"/>
      <c r="N700" s="1">
        <f t="shared" si="465"/>
        <v>1160</v>
      </c>
      <c r="O700" s="1"/>
      <c r="P700" s="3"/>
      <c r="Q700" s="1">
        <f t="shared" si="466"/>
        <v>1160</v>
      </c>
      <c r="R700" s="3"/>
      <c r="S700" s="3"/>
      <c r="T700" s="1">
        <f t="shared" si="476"/>
        <v>1160</v>
      </c>
      <c r="U700" s="1">
        <f t="shared" si="479"/>
        <v>1160</v>
      </c>
      <c r="V700" s="1">
        <f t="shared" si="468"/>
        <v>0</v>
      </c>
      <c r="W700" s="1">
        <f t="shared" si="469"/>
        <v>1160</v>
      </c>
      <c r="X700" s="41">
        <v>500</v>
      </c>
      <c r="Y700" s="41">
        <f t="shared" si="470"/>
        <v>-660</v>
      </c>
      <c r="Z700" s="1">
        <f t="shared" si="471"/>
        <v>500</v>
      </c>
      <c r="AA700" s="41">
        <v>500</v>
      </c>
      <c r="AB700" s="1">
        <f t="shared" si="477"/>
        <v>0</v>
      </c>
      <c r="AC700" s="1">
        <f t="shared" si="478"/>
        <v>500</v>
      </c>
      <c r="AD700" s="41">
        <v>500</v>
      </c>
      <c r="AE700" s="1">
        <f t="shared" si="435"/>
        <v>0</v>
      </c>
      <c r="AF700" s="1">
        <f t="shared" si="436"/>
        <v>500</v>
      </c>
    </row>
    <row r="701" spans="1:32">
      <c r="A701" s="13">
        <v>23110</v>
      </c>
      <c r="B701" s="11">
        <v>23020</v>
      </c>
      <c r="C701" s="11" t="s">
        <v>330</v>
      </c>
      <c r="D701" s="8"/>
      <c r="E701" s="8"/>
      <c r="F701" s="8"/>
      <c r="G701" s="8"/>
      <c r="H701" s="8"/>
      <c r="I701" s="8"/>
      <c r="J701" s="8"/>
      <c r="K701" s="8"/>
      <c r="L701" s="10">
        <v>1000</v>
      </c>
      <c r="M701" s="10">
        <v>0</v>
      </c>
      <c r="N701" s="7">
        <f t="shared" si="465"/>
        <v>1000</v>
      </c>
      <c r="O701" s="7"/>
      <c r="P701" s="3"/>
      <c r="Q701" s="1">
        <f t="shared" si="466"/>
        <v>1000</v>
      </c>
      <c r="R701" s="3"/>
      <c r="S701" s="3"/>
      <c r="T701" s="1">
        <f t="shared" si="476"/>
        <v>1000</v>
      </c>
      <c r="U701" s="1">
        <f t="shared" si="479"/>
        <v>1000</v>
      </c>
      <c r="V701" s="1">
        <f t="shared" si="468"/>
        <v>0</v>
      </c>
      <c r="W701" s="1">
        <f t="shared" si="469"/>
        <v>1000</v>
      </c>
      <c r="X701" s="41">
        <v>500</v>
      </c>
      <c r="Y701" s="41">
        <f t="shared" si="470"/>
        <v>-500</v>
      </c>
      <c r="Z701" s="1">
        <f t="shared" si="471"/>
        <v>500</v>
      </c>
      <c r="AA701" s="41">
        <v>500</v>
      </c>
      <c r="AB701" s="41">
        <f t="shared" si="477"/>
        <v>0</v>
      </c>
      <c r="AC701" s="1">
        <f t="shared" si="478"/>
        <v>500</v>
      </c>
      <c r="AD701" s="41">
        <v>500</v>
      </c>
      <c r="AE701" s="1">
        <f t="shared" si="435"/>
        <v>0</v>
      </c>
      <c r="AF701" s="1">
        <f t="shared" si="436"/>
        <v>500</v>
      </c>
    </row>
    <row r="702" spans="1:32">
      <c r="A702" s="42">
        <v>23113</v>
      </c>
      <c r="B702" s="11">
        <v>23020</v>
      </c>
      <c r="C702" s="11" t="s">
        <v>355</v>
      </c>
      <c r="D702" s="7">
        <v>590.65</v>
      </c>
      <c r="E702" s="7">
        <v>500</v>
      </c>
      <c r="F702" s="7">
        <f t="shared" ref="F702:F711" si="480">D702-E702</f>
        <v>90.649999999999977</v>
      </c>
      <c r="G702" s="7">
        <v>-90.65</v>
      </c>
      <c r="H702" s="7">
        <f t="shared" ref="H702:H711" si="481">D702+G702</f>
        <v>500</v>
      </c>
      <c r="I702" s="7"/>
      <c r="J702" s="7">
        <f t="shared" ref="J702:J711" si="482">H702-I702</f>
        <v>500</v>
      </c>
      <c r="K702" s="7"/>
      <c r="L702" s="7">
        <v>500</v>
      </c>
      <c r="M702" s="7">
        <v>0</v>
      </c>
      <c r="N702" s="7">
        <f t="shared" si="465"/>
        <v>500</v>
      </c>
      <c r="O702" s="7"/>
      <c r="Q702" s="1">
        <f t="shared" si="466"/>
        <v>500</v>
      </c>
      <c r="T702" s="1">
        <f t="shared" si="476"/>
        <v>500</v>
      </c>
      <c r="U702" s="1">
        <f t="shared" si="479"/>
        <v>500</v>
      </c>
      <c r="V702" s="1">
        <f t="shared" si="468"/>
        <v>0</v>
      </c>
      <c r="W702" s="1">
        <f t="shared" si="469"/>
        <v>500</v>
      </c>
      <c r="X702" s="1">
        <v>100</v>
      </c>
      <c r="Y702" s="41">
        <f t="shared" si="470"/>
        <v>-400</v>
      </c>
      <c r="Z702" s="1">
        <f t="shared" si="471"/>
        <v>100</v>
      </c>
      <c r="AA702" s="1">
        <v>1500</v>
      </c>
      <c r="AB702" s="41">
        <f t="shared" si="477"/>
        <v>1400</v>
      </c>
      <c r="AC702" s="1">
        <f t="shared" si="478"/>
        <v>1500</v>
      </c>
      <c r="AD702" s="41">
        <v>2000</v>
      </c>
      <c r="AE702" s="1">
        <f t="shared" si="435"/>
        <v>500</v>
      </c>
      <c r="AF702" s="1">
        <f t="shared" si="436"/>
        <v>2000</v>
      </c>
    </row>
    <row r="703" spans="1:32">
      <c r="A703" s="11">
        <v>32000</v>
      </c>
      <c r="B703" s="11">
        <v>23020</v>
      </c>
      <c r="C703" s="11" t="s">
        <v>373</v>
      </c>
      <c r="D703" s="7">
        <v>800</v>
      </c>
      <c r="E703" s="7"/>
      <c r="F703" s="7">
        <f t="shared" si="480"/>
        <v>800</v>
      </c>
      <c r="G703" s="7"/>
      <c r="H703" s="7">
        <f t="shared" si="481"/>
        <v>800</v>
      </c>
      <c r="I703" s="1"/>
      <c r="J703" s="1">
        <f t="shared" si="482"/>
        <v>800</v>
      </c>
      <c r="K703" s="1"/>
      <c r="L703" s="1">
        <f>H703+K703</f>
        <v>800</v>
      </c>
      <c r="N703" s="1">
        <f t="shared" si="465"/>
        <v>800</v>
      </c>
      <c r="O703" s="1"/>
      <c r="P703" s="3"/>
      <c r="Q703" s="1">
        <f t="shared" si="466"/>
        <v>800</v>
      </c>
      <c r="R703" s="3"/>
      <c r="S703" s="3"/>
      <c r="T703" s="1">
        <f t="shared" si="476"/>
        <v>800</v>
      </c>
      <c r="U703" s="1">
        <f t="shared" si="479"/>
        <v>800</v>
      </c>
      <c r="V703" s="1">
        <f t="shared" si="468"/>
        <v>0</v>
      </c>
      <c r="W703" s="1">
        <f t="shared" si="469"/>
        <v>800</v>
      </c>
      <c r="X703" s="41">
        <v>100</v>
      </c>
      <c r="Y703" s="41">
        <f t="shared" si="470"/>
        <v>-700</v>
      </c>
      <c r="Z703" s="1">
        <f t="shared" si="471"/>
        <v>100</v>
      </c>
      <c r="AA703" s="41">
        <v>100</v>
      </c>
      <c r="AB703" s="41">
        <f t="shared" si="477"/>
        <v>0</v>
      </c>
      <c r="AC703" s="1">
        <f t="shared" si="478"/>
        <v>100</v>
      </c>
      <c r="AD703" s="41">
        <v>100</v>
      </c>
      <c r="AE703" s="1">
        <f t="shared" si="435"/>
        <v>0</v>
      </c>
      <c r="AF703" s="1">
        <f t="shared" si="436"/>
        <v>100</v>
      </c>
    </row>
    <row r="704" spans="1:32">
      <c r="A704" s="11">
        <v>33220</v>
      </c>
      <c r="B704" s="11">
        <v>23020</v>
      </c>
      <c r="C704" s="11" t="s">
        <v>474</v>
      </c>
      <c r="D704" s="7">
        <v>300</v>
      </c>
      <c r="E704" s="7"/>
      <c r="F704" s="7">
        <f t="shared" si="480"/>
        <v>300</v>
      </c>
      <c r="G704" s="7"/>
      <c r="H704" s="7">
        <f t="shared" si="481"/>
        <v>300</v>
      </c>
      <c r="I704" s="1"/>
      <c r="J704" s="1">
        <f t="shared" si="482"/>
        <v>300</v>
      </c>
      <c r="K704" s="1"/>
      <c r="L704" s="1">
        <f>H704+K704</f>
        <v>300</v>
      </c>
      <c r="N704" s="1">
        <f t="shared" si="465"/>
        <v>300</v>
      </c>
      <c r="O704" s="1"/>
      <c r="Q704" s="1">
        <f t="shared" si="466"/>
        <v>300</v>
      </c>
      <c r="T704" s="1">
        <f t="shared" si="476"/>
        <v>300</v>
      </c>
      <c r="U704" s="1">
        <f t="shared" si="479"/>
        <v>300</v>
      </c>
      <c r="V704" s="1">
        <f t="shared" si="468"/>
        <v>0</v>
      </c>
      <c r="W704" s="1">
        <f t="shared" si="469"/>
        <v>300</v>
      </c>
      <c r="X704" s="1">
        <v>100</v>
      </c>
      <c r="Y704" s="41">
        <f t="shared" si="470"/>
        <v>-200</v>
      </c>
      <c r="Z704" s="1">
        <f t="shared" si="471"/>
        <v>100</v>
      </c>
      <c r="AA704" s="1">
        <v>300</v>
      </c>
      <c r="AB704" s="41">
        <f t="shared" si="477"/>
        <v>200</v>
      </c>
      <c r="AC704" s="1">
        <f t="shared" si="478"/>
        <v>300</v>
      </c>
      <c r="AD704" s="41">
        <v>300</v>
      </c>
      <c r="AE704" s="1">
        <f t="shared" si="435"/>
        <v>0</v>
      </c>
      <c r="AF704" s="1">
        <f t="shared" si="436"/>
        <v>300</v>
      </c>
    </row>
    <row r="705" spans="1:32">
      <c r="A705" s="11">
        <v>33400</v>
      </c>
      <c r="B705" s="11">
        <v>23020</v>
      </c>
      <c r="C705" s="11" t="s">
        <v>430</v>
      </c>
      <c r="D705" s="7">
        <v>400</v>
      </c>
      <c r="E705" s="7"/>
      <c r="F705" s="7">
        <f t="shared" si="480"/>
        <v>400</v>
      </c>
      <c r="G705" s="7"/>
      <c r="H705" s="7">
        <f t="shared" si="481"/>
        <v>400</v>
      </c>
      <c r="I705" s="1"/>
      <c r="J705" s="1">
        <f t="shared" si="482"/>
        <v>400</v>
      </c>
      <c r="K705" s="1"/>
      <c r="L705" s="1">
        <f>H705+K705</f>
        <v>400</v>
      </c>
      <c r="N705" s="1">
        <f t="shared" si="465"/>
        <v>400</v>
      </c>
      <c r="O705" s="1"/>
      <c r="Q705" s="1">
        <f t="shared" si="466"/>
        <v>400</v>
      </c>
      <c r="T705" s="1">
        <f t="shared" si="476"/>
        <v>400</v>
      </c>
      <c r="U705" s="1">
        <f t="shared" si="479"/>
        <v>400</v>
      </c>
      <c r="V705" s="1">
        <f t="shared" si="468"/>
        <v>0</v>
      </c>
      <c r="W705" s="1">
        <f t="shared" si="469"/>
        <v>400</v>
      </c>
      <c r="X705" s="1">
        <v>100</v>
      </c>
      <c r="Y705" s="41">
        <f t="shared" si="470"/>
        <v>-300</v>
      </c>
      <c r="Z705" s="1">
        <f t="shared" si="471"/>
        <v>100</v>
      </c>
      <c r="AA705" s="1">
        <v>1000</v>
      </c>
      <c r="AB705" s="1">
        <f t="shared" si="477"/>
        <v>900</v>
      </c>
      <c r="AC705" s="1">
        <f t="shared" si="478"/>
        <v>1000</v>
      </c>
      <c r="AD705" s="41">
        <v>500</v>
      </c>
      <c r="AE705" s="1">
        <f t="shared" si="435"/>
        <v>-500</v>
      </c>
      <c r="AF705" s="1">
        <f t="shared" si="436"/>
        <v>500</v>
      </c>
    </row>
    <row r="706" spans="1:32">
      <c r="A706" s="11">
        <v>33600</v>
      </c>
      <c r="B706" s="11">
        <v>23020</v>
      </c>
      <c r="C706" s="11" t="s">
        <v>467</v>
      </c>
      <c r="D706" s="7">
        <v>1202.02</v>
      </c>
      <c r="E706" s="7"/>
      <c r="F706" s="7">
        <f t="shared" si="480"/>
        <v>1202.02</v>
      </c>
      <c r="G706" s="7">
        <v>-202.02</v>
      </c>
      <c r="H706" s="7">
        <f t="shared" si="481"/>
        <v>1000</v>
      </c>
      <c r="I706" s="1"/>
      <c r="J706" s="1">
        <f t="shared" si="482"/>
        <v>1000</v>
      </c>
      <c r="K706" s="1"/>
      <c r="L706" s="1">
        <f>H706+K706</f>
        <v>1000</v>
      </c>
      <c r="M706" s="8"/>
      <c r="N706" s="1">
        <f t="shared" si="465"/>
        <v>1000</v>
      </c>
      <c r="O706" s="1"/>
      <c r="Q706" s="1">
        <f t="shared" si="466"/>
        <v>1000</v>
      </c>
      <c r="T706" s="1">
        <f t="shared" si="476"/>
        <v>1000</v>
      </c>
      <c r="U706" s="1">
        <f t="shared" si="479"/>
        <v>1000</v>
      </c>
      <c r="V706" s="1">
        <f t="shared" si="468"/>
        <v>0</v>
      </c>
      <c r="W706" s="1">
        <f t="shared" si="469"/>
        <v>1000</v>
      </c>
      <c r="X706" s="1">
        <v>500</v>
      </c>
      <c r="Y706" s="41">
        <f t="shared" si="470"/>
        <v>-500</v>
      </c>
      <c r="Z706" s="1">
        <f t="shared" si="471"/>
        <v>500</v>
      </c>
      <c r="AA706" s="1">
        <v>1000</v>
      </c>
      <c r="AB706" s="1">
        <f t="shared" si="477"/>
        <v>500</v>
      </c>
      <c r="AC706" s="1">
        <f t="shared" si="478"/>
        <v>1000</v>
      </c>
      <c r="AD706" s="41">
        <v>1000</v>
      </c>
      <c r="AE706" s="1">
        <f t="shared" si="435"/>
        <v>0</v>
      </c>
      <c r="AF706" s="1">
        <f t="shared" si="436"/>
        <v>1000</v>
      </c>
    </row>
    <row r="707" spans="1:32">
      <c r="A707" s="11">
        <v>33700</v>
      </c>
      <c r="B707" s="11">
        <v>23020</v>
      </c>
      <c r="C707" s="11" t="s">
        <v>385</v>
      </c>
      <c r="D707" s="7">
        <v>950</v>
      </c>
      <c r="E707" s="7"/>
      <c r="F707" s="7">
        <f t="shared" si="480"/>
        <v>950</v>
      </c>
      <c r="G707" s="7"/>
      <c r="H707" s="7">
        <f t="shared" si="481"/>
        <v>950</v>
      </c>
      <c r="I707" s="1"/>
      <c r="J707" s="1">
        <f t="shared" si="482"/>
        <v>950</v>
      </c>
      <c r="K707" s="1"/>
      <c r="L707" s="1">
        <f>H707+K707</f>
        <v>950</v>
      </c>
      <c r="M707" s="8"/>
      <c r="N707" s="1">
        <f t="shared" si="465"/>
        <v>950</v>
      </c>
      <c r="O707" s="1"/>
      <c r="Q707" s="1">
        <f t="shared" si="466"/>
        <v>950</v>
      </c>
      <c r="T707" s="1">
        <f t="shared" si="476"/>
        <v>950</v>
      </c>
      <c r="U707" s="1">
        <f t="shared" si="479"/>
        <v>950</v>
      </c>
      <c r="V707" s="1">
        <f t="shared" si="468"/>
        <v>0</v>
      </c>
      <c r="W707" s="1">
        <f t="shared" si="469"/>
        <v>950</v>
      </c>
      <c r="X707" s="1">
        <v>900</v>
      </c>
      <c r="Y707" s="41">
        <f t="shared" si="470"/>
        <v>-50</v>
      </c>
      <c r="Z707" s="1">
        <f t="shared" si="471"/>
        <v>900</v>
      </c>
      <c r="AA707" s="1">
        <v>900</v>
      </c>
      <c r="AB707" s="1">
        <f t="shared" si="477"/>
        <v>0</v>
      </c>
      <c r="AC707" s="1">
        <f t="shared" si="478"/>
        <v>900</v>
      </c>
      <c r="AD707" s="41">
        <v>900</v>
      </c>
      <c r="AE707" s="1">
        <f t="shared" si="435"/>
        <v>0</v>
      </c>
      <c r="AF707" s="1">
        <f t="shared" si="436"/>
        <v>900</v>
      </c>
    </row>
    <row r="708" spans="1:32">
      <c r="A708" s="11">
        <v>33710</v>
      </c>
      <c r="B708" s="11">
        <v>23020</v>
      </c>
      <c r="C708" s="11" t="s">
        <v>385</v>
      </c>
      <c r="D708" s="7">
        <v>300.51</v>
      </c>
      <c r="E708" s="7"/>
      <c r="F708" s="7">
        <f t="shared" si="480"/>
        <v>300.51</v>
      </c>
      <c r="G708" s="7"/>
      <c r="H708" s="7">
        <f t="shared" si="481"/>
        <v>300.51</v>
      </c>
      <c r="I708" s="7"/>
      <c r="J708" s="7">
        <f t="shared" si="482"/>
        <v>300.51</v>
      </c>
      <c r="K708" s="7"/>
      <c r="L708" s="7">
        <v>300.51</v>
      </c>
      <c r="M708" s="7">
        <v>0</v>
      </c>
      <c r="N708" s="7">
        <f t="shared" si="465"/>
        <v>300.51</v>
      </c>
      <c r="O708" s="7"/>
      <c r="Q708" s="1">
        <f t="shared" si="466"/>
        <v>300.51</v>
      </c>
      <c r="T708" s="1">
        <f t="shared" si="476"/>
        <v>300.51</v>
      </c>
      <c r="U708" s="1">
        <f t="shared" si="479"/>
        <v>300.51</v>
      </c>
      <c r="V708" s="1">
        <f t="shared" si="468"/>
        <v>0</v>
      </c>
      <c r="W708" s="1">
        <f t="shared" si="469"/>
        <v>300.51</v>
      </c>
      <c r="X708" s="1">
        <v>300</v>
      </c>
      <c r="Y708" s="41">
        <f t="shared" si="470"/>
        <v>-0.50999999999999091</v>
      </c>
      <c r="Z708" s="1">
        <f t="shared" si="471"/>
        <v>300</v>
      </c>
      <c r="AA708" s="1">
        <f>X708+Z708</f>
        <v>600</v>
      </c>
      <c r="AB708" s="1">
        <f t="shared" si="477"/>
        <v>300</v>
      </c>
      <c r="AC708" s="1">
        <f t="shared" si="478"/>
        <v>600</v>
      </c>
      <c r="AD708" s="41">
        <v>100</v>
      </c>
      <c r="AE708" s="1">
        <f t="shared" si="435"/>
        <v>-500</v>
      </c>
      <c r="AF708" s="1">
        <f t="shared" si="436"/>
        <v>100</v>
      </c>
    </row>
    <row r="709" spans="1:32">
      <c r="A709" s="11">
        <v>34000</v>
      </c>
      <c r="B709" s="11">
        <v>23020</v>
      </c>
      <c r="C709" s="11" t="s">
        <v>451</v>
      </c>
      <c r="D709" s="7">
        <v>1520</v>
      </c>
      <c r="E709" s="7"/>
      <c r="F709" s="7">
        <f t="shared" si="480"/>
        <v>1520</v>
      </c>
      <c r="G709" s="7"/>
      <c r="H709" s="7">
        <f t="shared" si="481"/>
        <v>1520</v>
      </c>
      <c r="I709" s="1"/>
      <c r="J709" s="1">
        <f t="shared" si="482"/>
        <v>1520</v>
      </c>
      <c r="K709" s="1"/>
      <c r="L709" s="1">
        <f>H709+K709</f>
        <v>1520</v>
      </c>
      <c r="N709" s="1">
        <f t="shared" si="465"/>
        <v>1520</v>
      </c>
      <c r="O709" s="1"/>
      <c r="Q709" s="1">
        <f t="shared" si="466"/>
        <v>1520</v>
      </c>
      <c r="T709" s="1">
        <f t="shared" si="476"/>
        <v>1520</v>
      </c>
      <c r="U709" s="1">
        <f t="shared" si="479"/>
        <v>1520</v>
      </c>
      <c r="V709" s="1">
        <f t="shared" si="468"/>
        <v>0</v>
      </c>
      <c r="W709" s="1">
        <f t="shared" si="469"/>
        <v>1520</v>
      </c>
      <c r="X709" s="1">
        <v>500</v>
      </c>
      <c r="Y709" s="41">
        <f t="shared" si="470"/>
        <v>-1020</v>
      </c>
      <c r="Z709" s="1">
        <f t="shared" si="471"/>
        <v>500</v>
      </c>
      <c r="AA709" s="1">
        <v>100</v>
      </c>
      <c r="AB709" s="1">
        <f t="shared" si="477"/>
        <v>-400</v>
      </c>
      <c r="AC709" s="1">
        <f t="shared" si="478"/>
        <v>100</v>
      </c>
      <c r="AD709" s="41">
        <v>250</v>
      </c>
      <c r="AE709" s="1">
        <f t="shared" si="435"/>
        <v>150</v>
      </c>
      <c r="AF709" s="1">
        <f t="shared" si="436"/>
        <v>250</v>
      </c>
    </row>
    <row r="710" spans="1:32">
      <c r="A710" s="11">
        <v>41000</v>
      </c>
      <c r="B710" s="11">
        <v>23020</v>
      </c>
      <c r="C710" s="11" t="s">
        <v>402</v>
      </c>
      <c r="D710" s="7">
        <v>500</v>
      </c>
      <c r="E710" s="7"/>
      <c r="F710" s="7">
        <f t="shared" si="480"/>
        <v>500</v>
      </c>
      <c r="G710" s="7"/>
      <c r="H710" s="7">
        <f t="shared" si="481"/>
        <v>500</v>
      </c>
      <c r="I710" s="1"/>
      <c r="J710" s="1">
        <f t="shared" si="482"/>
        <v>500</v>
      </c>
      <c r="K710" s="1"/>
      <c r="L710" s="1">
        <f>H710+K710</f>
        <v>500</v>
      </c>
      <c r="N710" s="1">
        <f t="shared" si="465"/>
        <v>500</v>
      </c>
      <c r="O710" s="1"/>
      <c r="Q710" s="1">
        <f t="shared" si="466"/>
        <v>500</v>
      </c>
      <c r="T710" s="1">
        <f t="shared" si="476"/>
        <v>500</v>
      </c>
      <c r="U710" s="1">
        <v>500</v>
      </c>
      <c r="V710" s="1">
        <f t="shared" si="468"/>
        <v>0</v>
      </c>
      <c r="W710" s="1">
        <f t="shared" si="469"/>
        <v>500</v>
      </c>
      <c r="X710" s="1">
        <v>500</v>
      </c>
      <c r="Y710" s="41">
        <f t="shared" si="470"/>
        <v>0</v>
      </c>
      <c r="Z710" s="1">
        <f t="shared" si="471"/>
        <v>500</v>
      </c>
      <c r="AA710" s="1">
        <v>500</v>
      </c>
      <c r="AB710" s="1">
        <f t="shared" si="477"/>
        <v>0</v>
      </c>
      <c r="AC710" s="1">
        <f t="shared" si="478"/>
        <v>500</v>
      </c>
      <c r="AD710" s="41">
        <v>500</v>
      </c>
      <c r="AE710" s="1">
        <f t="shared" ref="AE710:AE744" si="483">AD710-AC710</f>
        <v>0</v>
      </c>
      <c r="AF710" s="1">
        <f t="shared" ref="AF710:AF744" si="484">AC710+AE710</f>
        <v>500</v>
      </c>
    </row>
    <row r="711" spans="1:32">
      <c r="A711" s="13">
        <v>43200</v>
      </c>
      <c r="B711" s="11">
        <v>23020</v>
      </c>
      <c r="C711" s="11" t="s">
        <v>526</v>
      </c>
      <c r="D711" s="7">
        <v>24480</v>
      </c>
      <c r="E711" s="7">
        <v>8000</v>
      </c>
      <c r="F711" s="7">
        <f t="shared" si="480"/>
        <v>16480</v>
      </c>
      <c r="G711" s="7">
        <v>-16480</v>
      </c>
      <c r="H711" s="7">
        <f t="shared" si="481"/>
        <v>8000</v>
      </c>
      <c r="I711" s="1"/>
      <c r="J711" s="1">
        <f t="shared" si="482"/>
        <v>8000</v>
      </c>
      <c r="K711" s="1"/>
      <c r="L711" s="1">
        <f>H711+K711</f>
        <v>8000</v>
      </c>
      <c r="M711" s="8"/>
      <c r="N711" s="1">
        <f t="shared" si="465"/>
        <v>8000</v>
      </c>
      <c r="O711" s="1"/>
      <c r="Q711" s="1">
        <f t="shared" si="466"/>
        <v>8000</v>
      </c>
      <c r="T711" s="1">
        <f t="shared" si="476"/>
        <v>8000</v>
      </c>
      <c r="U711" s="1">
        <f>R711+T711</f>
        <v>8000</v>
      </c>
      <c r="V711" s="1">
        <f t="shared" si="468"/>
        <v>0</v>
      </c>
      <c r="W711" s="1">
        <f t="shared" si="469"/>
        <v>8000</v>
      </c>
      <c r="X711" s="1">
        <v>10000</v>
      </c>
      <c r="Y711" s="41">
        <f t="shared" si="470"/>
        <v>2000</v>
      </c>
      <c r="Z711" s="1">
        <f t="shared" si="471"/>
        <v>10000</v>
      </c>
      <c r="AA711" s="41">
        <v>5000</v>
      </c>
      <c r="AB711" s="41">
        <f t="shared" si="477"/>
        <v>-5000</v>
      </c>
      <c r="AC711" s="1">
        <f t="shared" si="478"/>
        <v>5000</v>
      </c>
      <c r="AD711" s="41">
        <v>8000</v>
      </c>
      <c r="AE711" s="1">
        <f t="shared" si="483"/>
        <v>3000</v>
      </c>
      <c r="AF711" s="1">
        <f t="shared" si="484"/>
        <v>8000</v>
      </c>
    </row>
    <row r="712" spans="1:32">
      <c r="A712" s="13">
        <v>43210</v>
      </c>
      <c r="B712" s="11">
        <v>23020</v>
      </c>
      <c r="C712" s="42" t="s">
        <v>845</v>
      </c>
      <c r="D712" s="8">
        <f>SUBTOTAL(9,D665:D698)</f>
        <v>8717224.3399999999</v>
      </c>
      <c r="E712" s="8">
        <f>SUBTOTAL(9,E665:E698)</f>
        <v>8651659.9000000004</v>
      </c>
      <c r="F712" s="8">
        <f>SUBTOTAL(9,F665:F698)</f>
        <v>65564.440000000017</v>
      </c>
      <c r="G712" s="8">
        <f>SUBTOTAL(9,G665:G698)</f>
        <v>524746.92000000004</v>
      </c>
      <c r="H712" s="8">
        <f t="shared" ref="H712:Q712" si="485">SUBTOTAL(9,H665:H711)</f>
        <v>9258401.7699999996</v>
      </c>
      <c r="I712" s="8">
        <f t="shared" si="485"/>
        <v>6920899</v>
      </c>
      <c r="J712" s="8">
        <f t="shared" si="485"/>
        <v>2337502.77</v>
      </c>
      <c r="K712" s="8">
        <f t="shared" si="485"/>
        <v>129105.49000000002</v>
      </c>
      <c r="L712" s="8">
        <f t="shared" si="485"/>
        <v>9621507.2599999998</v>
      </c>
      <c r="M712" s="8">
        <f t="shared" si="485"/>
        <v>419896.18</v>
      </c>
      <c r="N712" s="8">
        <f t="shared" si="485"/>
        <v>9921903.4399999995</v>
      </c>
      <c r="O712" s="8">
        <f t="shared" si="485"/>
        <v>0</v>
      </c>
      <c r="P712" s="8">
        <f t="shared" si="485"/>
        <v>577131</v>
      </c>
      <c r="Q712" s="8">
        <f t="shared" si="485"/>
        <v>10499034.439999999</v>
      </c>
      <c r="R712" s="3"/>
      <c r="S712" s="8">
        <f>SUBTOTAL(9,S665:S711)</f>
        <v>-52287.529999999992</v>
      </c>
      <c r="T712" s="8">
        <f>SUBTOTAL(9,T665:T711)</f>
        <v>10446746.909999998</v>
      </c>
      <c r="U712" s="8">
        <f>SUBTOTAL(9,U665:U711)</f>
        <v>10560137.59</v>
      </c>
      <c r="V712" s="8">
        <f>SUBTOTAL(9,V665:V711)</f>
        <v>113390.67999999995</v>
      </c>
      <c r="W712" s="8">
        <f>SUBTOTAL(9,W665:W711)</f>
        <v>9960137.5899999999</v>
      </c>
      <c r="X712" s="8">
        <f>SUBTOTAL(9,X711:X711)</f>
        <v>10000</v>
      </c>
      <c r="Y712" s="8">
        <f>SUBTOTAL(9,Y711:Y711)</f>
        <v>2000</v>
      </c>
      <c r="Z712" s="47">
        <v>0</v>
      </c>
      <c r="AA712" s="47">
        <v>5000</v>
      </c>
      <c r="AB712" s="41">
        <f t="shared" si="477"/>
        <v>5000</v>
      </c>
      <c r="AC712" s="1">
        <f t="shared" si="478"/>
        <v>5000</v>
      </c>
      <c r="AD712" s="41">
        <v>5000</v>
      </c>
      <c r="AE712" s="1">
        <f t="shared" si="483"/>
        <v>0</v>
      </c>
      <c r="AF712" s="1">
        <f t="shared" si="484"/>
        <v>5000</v>
      </c>
    </row>
    <row r="713" spans="1:32">
      <c r="A713" s="11">
        <v>45900</v>
      </c>
      <c r="B713" s="11">
        <v>23020</v>
      </c>
      <c r="C713" s="11" t="s">
        <v>177</v>
      </c>
      <c r="D713" s="7">
        <v>500</v>
      </c>
      <c r="E713" s="7"/>
      <c r="F713" s="7">
        <f t="shared" ref="F713:F725" si="486">D713-E713</f>
        <v>500</v>
      </c>
      <c r="G713" s="7"/>
      <c r="H713" s="7">
        <f t="shared" ref="H713:H725" si="487">D713+G713</f>
        <v>500</v>
      </c>
      <c r="I713" s="1"/>
      <c r="J713" s="1">
        <f t="shared" ref="J713:J725" si="488">H713-I713</f>
        <v>500</v>
      </c>
      <c r="K713" s="1"/>
      <c r="L713" s="1">
        <f>H713+K713</f>
        <v>500</v>
      </c>
      <c r="N713" s="1">
        <f t="shared" ref="N713:N741" si="489">L713+M713</f>
        <v>500</v>
      </c>
      <c r="O713" s="1"/>
      <c r="Q713" s="1">
        <f t="shared" ref="Q713:Q741" si="490">N713+P713</f>
        <v>500</v>
      </c>
      <c r="T713" s="1">
        <f t="shared" ref="T713:U719" si="491">Q713+S713</f>
        <v>500</v>
      </c>
      <c r="U713" s="1">
        <f t="shared" si="491"/>
        <v>500</v>
      </c>
      <c r="V713" s="1">
        <f t="shared" ref="V713:V741" si="492">U713-T713</f>
        <v>0</v>
      </c>
      <c r="W713" s="1">
        <f t="shared" ref="W713:W741" si="493">T713+V713</f>
        <v>500</v>
      </c>
      <c r="X713" s="1">
        <v>100</v>
      </c>
      <c r="Y713" s="41">
        <f t="shared" ref="Y713:Y741" si="494">X713-W713</f>
        <v>-400</v>
      </c>
      <c r="Z713" s="1">
        <f t="shared" ref="Z713:Z736" si="495">W713+Y713</f>
        <v>100</v>
      </c>
      <c r="AA713" s="1">
        <v>100</v>
      </c>
      <c r="AB713" s="1">
        <f t="shared" si="477"/>
        <v>0</v>
      </c>
      <c r="AC713" s="1">
        <f t="shared" si="478"/>
        <v>100</v>
      </c>
      <c r="AD713" s="41">
        <v>100</v>
      </c>
      <c r="AE713" s="1">
        <f t="shared" si="483"/>
        <v>0</v>
      </c>
      <c r="AF713" s="1">
        <f t="shared" si="484"/>
        <v>100</v>
      </c>
    </row>
    <row r="714" spans="1:32">
      <c r="A714" s="11">
        <v>49300</v>
      </c>
      <c r="B714" s="11">
        <v>23020</v>
      </c>
      <c r="C714" s="11" t="s">
        <v>385</v>
      </c>
      <c r="D714" s="7">
        <v>450.76</v>
      </c>
      <c r="E714" s="7"/>
      <c r="F714" s="7">
        <f t="shared" si="486"/>
        <v>450.76</v>
      </c>
      <c r="G714" s="7"/>
      <c r="H714" s="7">
        <f t="shared" si="487"/>
        <v>450.76</v>
      </c>
      <c r="I714" s="1"/>
      <c r="J714" s="1">
        <f t="shared" si="488"/>
        <v>450.76</v>
      </c>
      <c r="K714" s="1"/>
      <c r="L714" s="1">
        <f>H714+K714</f>
        <v>450.76</v>
      </c>
      <c r="N714" s="1">
        <f t="shared" si="489"/>
        <v>450.76</v>
      </c>
      <c r="O714" s="1"/>
      <c r="Q714" s="1">
        <f t="shared" si="490"/>
        <v>450.76</v>
      </c>
      <c r="T714" s="1">
        <f t="shared" si="491"/>
        <v>450.76</v>
      </c>
      <c r="U714" s="1">
        <f t="shared" si="491"/>
        <v>450.76</v>
      </c>
      <c r="V714" s="1">
        <f t="shared" si="492"/>
        <v>0</v>
      </c>
      <c r="W714" s="1">
        <f t="shared" si="493"/>
        <v>450.76</v>
      </c>
      <c r="X714" s="1">
        <v>100</v>
      </c>
      <c r="Y714" s="41">
        <f t="shared" si="494"/>
        <v>-350.76</v>
      </c>
      <c r="Z714" s="1">
        <f t="shared" si="495"/>
        <v>100</v>
      </c>
      <c r="AA714" s="1">
        <v>100</v>
      </c>
      <c r="AB714" s="1">
        <f t="shared" si="477"/>
        <v>0</v>
      </c>
      <c r="AC714" s="1">
        <f t="shared" si="478"/>
        <v>100</v>
      </c>
      <c r="AD714" s="41">
        <v>100</v>
      </c>
      <c r="AE714" s="1">
        <f t="shared" si="483"/>
        <v>0</v>
      </c>
      <c r="AF714" s="1">
        <f t="shared" si="484"/>
        <v>100</v>
      </c>
    </row>
    <row r="715" spans="1:32">
      <c r="A715" s="11">
        <v>92000</v>
      </c>
      <c r="B715" s="11">
        <v>23020</v>
      </c>
      <c r="C715" s="11" t="s">
        <v>258</v>
      </c>
      <c r="D715" s="7">
        <v>1202.02</v>
      </c>
      <c r="E715" s="7"/>
      <c r="F715" s="7">
        <f t="shared" si="486"/>
        <v>1202.02</v>
      </c>
      <c r="G715" s="7"/>
      <c r="H715" s="7">
        <f t="shared" si="487"/>
        <v>1202.02</v>
      </c>
      <c r="I715" s="1"/>
      <c r="J715" s="1">
        <f t="shared" si="488"/>
        <v>1202.02</v>
      </c>
      <c r="K715" s="1"/>
      <c r="L715" s="1">
        <f>H715+K715</f>
        <v>1202.02</v>
      </c>
      <c r="N715" s="1">
        <f t="shared" si="489"/>
        <v>1202.02</v>
      </c>
      <c r="O715" s="1"/>
      <c r="Q715" s="1">
        <f t="shared" si="490"/>
        <v>1202.02</v>
      </c>
      <c r="T715" s="1">
        <f t="shared" si="491"/>
        <v>1202.02</v>
      </c>
      <c r="U715" s="1">
        <f t="shared" si="491"/>
        <v>1202.02</v>
      </c>
      <c r="V715" s="1">
        <f t="shared" si="492"/>
        <v>0</v>
      </c>
      <c r="W715" s="1">
        <f t="shared" si="493"/>
        <v>1202.02</v>
      </c>
      <c r="X715" s="1">
        <v>1000</v>
      </c>
      <c r="Y715" s="41">
        <f t="shared" si="494"/>
        <v>-202.01999999999998</v>
      </c>
      <c r="Z715" s="1">
        <f t="shared" si="495"/>
        <v>1000</v>
      </c>
      <c r="AA715" s="1">
        <v>500</v>
      </c>
      <c r="AB715" s="1">
        <f t="shared" si="477"/>
        <v>-500</v>
      </c>
      <c r="AC715" s="1">
        <f t="shared" si="478"/>
        <v>500</v>
      </c>
      <c r="AD715" s="41">
        <v>500</v>
      </c>
      <c r="AE715" s="1">
        <f t="shared" si="483"/>
        <v>0</v>
      </c>
      <c r="AF715" s="1">
        <f t="shared" si="484"/>
        <v>500</v>
      </c>
    </row>
    <row r="716" spans="1:32">
      <c r="A716" s="11">
        <v>92010</v>
      </c>
      <c r="B716" s="11">
        <v>23020</v>
      </c>
      <c r="C716" s="11" t="s">
        <v>284</v>
      </c>
      <c r="D716" s="7">
        <v>300</v>
      </c>
      <c r="E716" s="7"/>
      <c r="F716" s="7">
        <f t="shared" si="486"/>
        <v>300</v>
      </c>
      <c r="G716" s="7"/>
      <c r="H716" s="7">
        <f t="shared" si="487"/>
        <v>300</v>
      </c>
      <c r="I716" s="7"/>
      <c r="J716" s="7">
        <f t="shared" si="488"/>
        <v>300</v>
      </c>
      <c r="K716" s="7"/>
      <c r="L716" s="7">
        <v>300</v>
      </c>
      <c r="M716" s="7">
        <v>0</v>
      </c>
      <c r="N716" s="7">
        <f t="shared" si="489"/>
        <v>300</v>
      </c>
      <c r="O716" s="7"/>
      <c r="Q716" s="1">
        <f t="shared" si="490"/>
        <v>300</v>
      </c>
      <c r="T716" s="1">
        <f t="shared" si="491"/>
        <v>300</v>
      </c>
      <c r="U716" s="1">
        <f t="shared" si="491"/>
        <v>300</v>
      </c>
      <c r="V716" s="1">
        <f t="shared" si="492"/>
        <v>0</v>
      </c>
      <c r="W716" s="1">
        <f t="shared" si="493"/>
        <v>300</v>
      </c>
      <c r="X716" s="1">
        <v>300</v>
      </c>
      <c r="Y716" s="41">
        <f t="shared" si="494"/>
        <v>0</v>
      </c>
      <c r="Z716" s="1">
        <f t="shared" si="495"/>
        <v>300</v>
      </c>
      <c r="AA716" s="1">
        <v>300</v>
      </c>
      <c r="AB716" s="1">
        <f t="shared" si="477"/>
        <v>0</v>
      </c>
      <c r="AC716" s="1">
        <f t="shared" si="478"/>
        <v>300</v>
      </c>
      <c r="AD716" s="41">
        <v>300</v>
      </c>
      <c r="AE716" s="1">
        <f t="shared" si="483"/>
        <v>0</v>
      </c>
      <c r="AF716" s="1">
        <f t="shared" si="484"/>
        <v>300</v>
      </c>
    </row>
    <row r="717" spans="1:32">
      <c r="A717" s="11">
        <v>92600</v>
      </c>
      <c r="B717" s="11">
        <v>23020</v>
      </c>
      <c r="C717" s="11" t="s">
        <v>294</v>
      </c>
      <c r="D717" s="7">
        <v>150.25</v>
      </c>
      <c r="E717" s="7"/>
      <c r="F717" s="7">
        <f t="shared" si="486"/>
        <v>150.25</v>
      </c>
      <c r="G717" s="7"/>
      <c r="H717" s="7">
        <f t="shared" si="487"/>
        <v>150.25</v>
      </c>
      <c r="I717" s="7"/>
      <c r="J717" s="7">
        <f t="shared" si="488"/>
        <v>150.25</v>
      </c>
      <c r="K717" s="7"/>
      <c r="L717" s="7">
        <v>150.25</v>
      </c>
      <c r="M717" s="7">
        <v>0</v>
      </c>
      <c r="N717" s="7">
        <f t="shared" si="489"/>
        <v>150.25</v>
      </c>
      <c r="O717" s="7"/>
      <c r="Q717" s="1">
        <f t="shared" si="490"/>
        <v>150.25</v>
      </c>
      <c r="T717" s="1">
        <f t="shared" si="491"/>
        <v>150.25</v>
      </c>
      <c r="U717" s="1">
        <f t="shared" si="491"/>
        <v>150.25</v>
      </c>
      <c r="V717" s="1">
        <f t="shared" si="492"/>
        <v>0</v>
      </c>
      <c r="W717" s="1">
        <f t="shared" si="493"/>
        <v>150.25</v>
      </c>
      <c r="X717" s="1">
        <v>100</v>
      </c>
      <c r="Y717" s="41">
        <f t="shared" si="494"/>
        <v>-50.25</v>
      </c>
      <c r="Z717" s="1">
        <f t="shared" si="495"/>
        <v>100</v>
      </c>
      <c r="AA717" s="1">
        <v>100</v>
      </c>
      <c r="AB717" s="1">
        <f t="shared" si="477"/>
        <v>0</v>
      </c>
      <c r="AC717" s="1">
        <f t="shared" si="478"/>
        <v>100</v>
      </c>
      <c r="AD717" s="41">
        <v>100</v>
      </c>
      <c r="AE717" s="1">
        <f t="shared" si="483"/>
        <v>0</v>
      </c>
      <c r="AF717" s="1">
        <f t="shared" si="484"/>
        <v>100</v>
      </c>
    </row>
    <row r="718" spans="1:32">
      <c r="A718" s="11">
        <v>92900</v>
      </c>
      <c r="B718" s="11">
        <v>23020</v>
      </c>
      <c r="C718" s="42" t="s">
        <v>921</v>
      </c>
      <c r="D718" s="7">
        <v>139.36000000000001</v>
      </c>
      <c r="E718" s="7"/>
      <c r="F718" s="7">
        <f t="shared" si="486"/>
        <v>139.36000000000001</v>
      </c>
      <c r="G718" s="7"/>
      <c r="H718" s="7">
        <f t="shared" si="487"/>
        <v>139.36000000000001</v>
      </c>
      <c r="I718" s="1"/>
      <c r="J718" s="1">
        <f t="shared" si="488"/>
        <v>139.36000000000001</v>
      </c>
      <c r="K718" s="1"/>
      <c r="L718" s="1">
        <f t="shared" ref="L718:L725" si="496">H718+K718</f>
        <v>139.36000000000001</v>
      </c>
      <c r="N718" s="1">
        <f t="shared" si="489"/>
        <v>139.36000000000001</v>
      </c>
      <c r="O718" s="1"/>
      <c r="Q718" s="1">
        <f t="shared" si="490"/>
        <v>139.36000000000001</v>
      </c>
      <c r="T718" s="1">
        <f t="shared" si="491"/>
        <v>139.36000000000001</v>
      </c>
      <c r="U718" s="1">
        <f t="shared" si="491"/>
        <v>139.36000000000001</v>
      </c>
      <c r="V718" s="1">
        <f t="shared" si="492"/>
        <v>0</v>
      </c>
      <c r="W718" s="1">
        <f t="shared" si="493"/>
        <v>139.36000000000001</v>
      </c>
      <c r="X718" s="1">
        <v>100</v>
      </c>
      <c r="Y718" s="41">
        <f t="shared" si="494"/>
        <v>-39.360000000000014</v>
      </c>
      <c r="Z718" s="1">
        <f t="shared" si="495"/>
        <v>100</v>
      </c>
      <c r="AA718" s="1">
        <v>100</v>
      </c>
      <c r="AB718" s="1">
        <f t="shared" si="477"/>
        <v>0</v>
      </c>
      <c r="AC718" s="1">
        <f t="shared" si="478"/>
        <v>100</v>
      </c>
      <c r="AD718" s="41">
        <v>100</v>
      </c>
      <c r="AE718" s="1">
        <f t="shared" si="483"/>
        <v>0</v>
      </c>
      <c r="AF718" s="1">
        <f t="shared" si="484"/>
        <v>100</v>
      </c>
    </row>
    <row r="719" spans="1:32">
      <c r="A719" s="11">
        <v>91200</v>
      </c>
      <c r="B719" s="11">
        <v>23100</v>
      </c>
      <c r="C719" s="11" t="s">
        <v>233</v>
      </c>
      <c r="D719" s="7">
        <v>7511.58</v>
      </c>
      <c r="E719" s="7"/>
      <c r="F719" s="7">
        <f t="shared" si="486"/>
        <v>7511.58</v>
      </c>
      <c r="G719" s="7">
        <v>-2511.58</v>
      </c>
      <c r="H719" s="7">
        <f t="shared" si="487"/>
        <v>5000</v>
      </c>
      <c r="I719" s="1"/>
      <c r="J719" s="1">
        <f t="shared" si="488"/>
        <v>5000</v>
      </c>
      <c r="K719" s="1"/>
      <c r="L719" s="1">
        <f t="shared" si="496"/>
        <v>5000</v>
      </c>
      <c r="N719" s="1">
        <f t="shared" si="489"/>
        <v>5000</v>
      </c>
      <c r="O719" s="1"/>
      <c r="Q719" s="1">
        <f t="shared" si="490"/>
        <v>5000</v>
      </c>
      <c r="T719" s="1">
        <f t="shared" si="491"/>
        <v>5000</v>
      </c>
      <c r="U719" s="1">
        <f t="shared" si="491"/>
        <v>5000</v>
      </c>
      <c r="V719" s="1">
        <f t="shared" si="492"/>
        <v>0</v>
      </c>
      <c r="W719" s="1">
        <f t="shared" si="493"/>
        <v>5000</v>
      </c>
      <c r="X719" s="1">
        <v>5000</v>
      </c>
      <c r="Y719" s="41">
        <f t="shared" si="494"/>
        <v>0</v>
      </c>
      <c r="Z719" s="1">
        <f t="shared" si="495"/>
        <v>5000</v>
      </c>
      <c r="AA719" s="41">
        <v>5000</v>
      </c>
      <c r="AB719" s="1">
        <f t="shared" si="477"/>
        <v>0</v>
      </c>
      <c r="AC719" s="1">
        <f t="shared" si="478"/>
        <v>5000</v>
      </c>
      <c r="AD719" s="41">
        <v>5000</v>
      </c>
      <c r="AE719" s="1">
        <f t="shared" si="483"/>
        <v>0</v>
      </c>
      <c r="AF719" s="1">
        <f t="shared" si="484"/>
        <v>5000</v>
      </c>
    </row>
    <row r="720" spans="1:32">
      <c r="A720" s="11">
        <v>93100</v>
      </c>
      <c r="B720" s="11">
        <v>23100</v>
      </c>
      <c r="C720" s="11" t="s">
        <v>502</v>
      </c>
      <c r="D720" s="7">
        <v>1202.02</v>
      </c>
      <c r="E720" s="7"/>
      <c r="F720" s="7">
        <f t="shared" si="486"/>
        <v>1202.02</v>
      </c>
      <c r="G720" s="7">
        <v>-202.02</v>
      </c>
      <c r="H720" s="7">
        <f t="shared" si="487"/>
        <v>1000</v>
      </c>
      <c r="I720" s="1"/>
      <c r="J720" s="1">
        <f t="shared" si="488"/>
        <v>1000</v>
      </c>
      <c r="K720" s="1"/>
      <c r="L720" s="1">
        <f t="shared" si="496"/>
        <v>1000</v>
      </c>
      <c r="M720" s="8"/>
      <c r="N720" s="1">
        <f t="shared" si="489"/>
        <v>1000</v>
      </c>
      <c r="O720" s="1"/>
      <c r="Q720" s="1">
        <f t="shared" si="490"/>
        <v>1000</v>
      </c>
      <c r="T720" s="1">
        <f t="shared" ref="T720:T741" si="497">Q720+S720</f>
        <v>1000</v>
      </c>
      <c r="U720" s="1">
        <v>1000</v>
      </c>
      <c r="V720" s="1">
        <f t="shared" si="492"/>
        <v>0</v>
      </c>
      <c r="W720" s="1">
        <f t="shared" si="493"/>
        <v>1000</v>
      </c>
      <c r="X720" s="1">
        <v>1000</v>
      </c>
      <c r="Y720" s="41">
        <f t="shared" si="494"/>
        <v>0</v>
      </c>
      <c r="Z720" s="1">
        <f t="shared" si="495"/>
        <v>1000</v>
      </c>
      <c r="AA720" s="1">
        <v>1000</v>
      </c>
      <c r="AB720" s="1">
        <f t="shared" si="477"/>
        <v>0</v>
      </c>
      <c r="AC720" s="1">
        <f t="shared" si="478"/>
        <v>1000</v>
      </c>
      <c r="AD720" s="41">
        <v>1000</v>
      </c>
      <c r="AE720" s="1">
        <f t="shared" si="483"/>
        <v>0</v>
      </c>
      <c r="AF720" s="1">
        <f t="shared" si="484"/>
        <v>1000</v>
      </c>
    </row>
    <row r="721" spans="1:32">
      <c r="A721" s="11">
        <v>13200</v>
      </c>
      <c r="B721" s="11">
        <v>23102</v>
      </c>
      <c r="C721" s="11" t="s">
        <v>309</v>
      </c>
      <c r="D721" s="7">
        <v>0</v>
      </c>
      <c r="E721" s="7">
        <v>1500</v>
      </c>
      <c r="F721" s="7">
        <f t="shared" si="486"/>
        <v>-1500</v>
      </c>
      <c r="G721" s="7">
        <v>1500</v>
      </c>
      <c r="H721" s="7">
        <f t="shared" si="487"/>
        <v>1500</v>
      </c>
      <c r="I721" s="1"/>
      <c r="J721" s="1">
        <f t="shared" si="488"/>
        <v>1500</v>
      </c>
      <c r="K721" s="1"/>
      <c r="L721" s="1">
        <f t="shared" si="496"/>
        <v>1500</v>
      </c>
      <c r="N721" s="1">
        <f t="shared" si="489"/>
        <v>1500</v>
      </c>
      <c r="O721" s="1"/>
      <c r="Q721" s="1">
        <f t="shared" si="490"/>
        <v>1500</v>
      </c>
      <c r="T721" s="1">
        <f t="shared" si="497"/>
        <v>1500</v>
      </c>
      <c r="U721" s="1">
        <f>R721+T721</f>
        <v>1500</v>
      </c>
      <c r="V721" s="1">
        <f t="shared" si="492"/>
        <v>0</v>
      </c>
      <c r="W721" s="1">
        <f t="shared" si="493"/>
        <v>1500</v>
      </c>
      <c r="X721" s="1">
        <v>1500</v>
      </c>
      <c r="Y721" s="41">
        <f t="shared" si="494"/>
        <v>0</v>
      </c>
      <c r="Z721" s="1">
        <f t="shared" si="495"/>
        <v>1500</v>
      </c>
      <c r="AA721" s="1">
        <v>1500</v>
      </c>
      <c r="AB721" s="1">
        <f t="shared" si="477"/>
        <v>0</v>
      </c>
      <c r="AC721" s="1">
        <f t="shared" si="478"/>
        <v>1500</v>
      </c>
      <c r="AD721" s="41">
        <v>1500</v>
      </c>
      <c r="AE721" s="1">
        <f t="shared" si="483"/>
        <v>0</v>
      </c>
      <c r="AF721" s="1">
        <f t="shared" si="484"/>
        <v>1500</v>
      </c>
    </row>
    <row r="722" spans="1:32">
      <c r="A722" s="11">
        <v>13000</v>
      </c>
      <c r="B722" s="11">
        <v>23120</v>
      </c>
      <c r="C722" s="11" t="s">
        <v>277</v>
      </c>
      <c r="D722" s="7">
        <v>0</v>
      </c>
      <c r="E722" s="7"/>
      <c r="F722" s="7">
        <f t="shared" si="486"/>
        <v>0</v>
      </c>
      <c r="G722" s="7">
        <v>1803.04</v>
      </c>
      <c r="H722" s="7">
        <f t="shared" si="487"/>
        <v>1803.04</v>
      </c>
      <c r="I722" s="1"/>
      <c r="J722" s="1">
        <f t="shared" si="488"/>
        <v>1803.04</v>
      </c>
      <c r="K722" s="1"/>
      <c r="L722" s="1">
        <f t="shared" si="496"/>
        <v>1803.04</v>
      </c>
      <c r="N722" s="1">
        <f t="shared" si="489"/>
        <v>1803.04</v>
      </c>
      <c r="O722" s="1"/>
      <c r="Q722" s="1">
        <f t="shared" si="490"/>
        <v>1803.04</v>
      </c>
      <c r="T722" s="1">
        <f t="shared" si="497"/>
        <v>1803.04</v>
      </c>
      <c r="U722" s="1">
        <f>R722+T722</f>
        <v>1803.04</v>
      </c>
      <c r="V722" s="1">
        <f t="shared" si="492"/>
        <v>0</v>
      </c>
      <c r="W722" s="1">
        <f t="shared" si="493"/>
        <v>1803.04</v>
      </c>
      <c r="X722" s="1">
        <v>1800</v>
      </c>
      <c r="Y722" s="41">
        <f t="shared" si="494"/>
        <v>-3.0399999999999636</v>
      </c>
      <c r="Z722" s="1">
        <f t="shared" si="495"/>
        <v>1800</v>
      </c>
      <c r="AA722" s="1">
        <v>500</v>
      </c>
      <c r="AB722" s="1">
        <f t="shared" si="477"/>
        <v>-1300</v>
      </c>
      <c r="AC722" s="1">
        <f t="shared" si="478"/>
        <v>500</v>
      </c>
      <c r="AD722" s="41">
        <v>500</v>
      </c>
      <c r="AE722" s="1">
        <f t="shared" si="483"/>
        <v>0</v>
      </c>
      <c r="AF722" s="1">
        <f t="shared" si="484"/>
        <v>500</v>
      </c>
    </row>
    <row r="723" spans="1:32">
      <c r="A723" s="11">
        <v>15100</v>
      </c>
      <c r="B723" s="11">
        <v>23120</v>
      </c>
      <c r="C723" s="11" t="s">
        <v>70</v>
      </c>
      <c r="D723" s="7">
        <v>3202.02</v>
      </c>
      <c r="E723" s="7"/>
      <c r="F723" s="7">
        <f t="shared" si="486"/>
        <v>3202.02</v>
      </c>
      <c r="G723" s="7">
        <v>-1202.02</v>
      </c>
      <c r="H723" s="7">
        <f t="shared" si="487"/>
        <v>2000</v>
      </c>
      <c r="I723" s="1"/>
      <c r="J723" s="1">
        <f t="shared" si="488"/>
        <v>2000</v>
      </c>
      <c r="K723" s="1"/>
      <c r="L723" s="1">
        <f t="shared" si="496"/>
        <v>2000</v>
      </c>
      <c r="N723" s="1">
        <f t="shared" si="489"/>
        <v>2000</v>
      </c>
      <c r="O723" s="1"/>
      <c r="Q723" s="1">
        <f t="shared" si="490"/>
        <v>2000</v>
      </c>
      <c r="T723" s="1">
        <f t="shared" si="497"/>
        <v>2000</v>
      </c>
      <c r="U723" s="1">
        <f>R723+T723</f>
        <v>2000</v>
      </c>
      <c r="V723" s="1">
        <f t="shared" si="492"/>
        <v>0</v>
      </c>
      <c r="W723" s="1">
        <f t="shared" si="493"/>
        <v>2000</v>
      </c>
      <c r="X723" s="1">
        <v>1000</v>
      </c>
      <c r="Y723" s="41">
        <f t="shared" si="494"/>
        <v>-1000</v>
      </c>
      <c r="Z723" s="1">
        <f t="shared" si="495"/>
        <v>1000</v>
      </c>
      <c r="AA723" s="1">
        <v>500</v>
      </c>
      <c r="AB723" s="1">
        <f t="shared" si="477"/>
        <v>-500</v>
      </c>
      <c r="AC723" s="1">
        <f t="shared" si="478"/>
        <v>500</v>
      </c>
      <c r="AD723" s="41">
        <v>500</v>
      </c>
      <c r="AE723" s="1">
        <f t="shared" si="483"/>
        <v>0</v>
      </c>
      <c r="AF723" s="1">
        <f t="shared" si="484"/>
        <v>500</v>
      </c>
    </row>
    <row r="724" spans="1:32">
      <c r="A724" s="13">
        <v>17000</v>
      </c>
      <c r="B724" s="11">
        <v>23120</v>
      </c>
      <c r="C724" s="11" t="s">
        <v>386</v>
      </c>
      <c r="D724" s="7">
        <v>500</v>
      </c>
      <c r="E724" s="7"/>
      <c r="F724" s="7">
        <f t="shared" si="486"/>
        <v>500</v>
      </c>
      <c r="G724" s="7"/>
      <c r="H724" s="7">
        <f t="shared" si="487"/>
        <v>500</v>
      </c>
      <c r="I724" s="1"/>
      <c r="J724" s="1">
        <f t="shared" si="488"/>
        <v>500</v>
      </c>
      <c r="K724" s="1"/>
      <c r="L724" s="1">
        <f t="shared" si="496"/>
        <v>500</v>
      </c>
      <c r="N724" s="1">
        <f t="shared" si="489"/>
        <v>500</v>
      </c>
      <c r="O724" s="1"/>
      <c r="Q724" s="1">
        <f t="shared" si="490"/>
        <v>500</v>
      </c>
      <c r="T724" s="1">
        <f t="shared" si="497"/>
        <v>500</v>
      </c>
      <c r="U724" s="1">
        <v>500</v>
      </c>
      <c r="V724" s="1">
        <f t="shared" si="492"/>
        <v>0</v>
      </c>
      <c r="W724" s="1">
        <f t="shared" si="493"/>
        <v>500</v>
      </c>
      <c r="X724" s="1">
        <v>500</v>
      </c>
      <c r="Y724" s="41">
        <f t="shared" si="494"/>
        <v>0</v>
      </c>
      <c r="Z724" s="1">
        <f t="shared" si="495"/>
        <v>500</v>
      </c>
      <c r="AA724" s="1">
        <v>500</v>
      </c>
      <c r="AB724" s="1">
        <f t="shared" si="477"/>
        <v>0</v>
      </c>
      <c r="AC724" s="1">
        <f t="shared" si="478"/>
        <v>500</v>
      </c>
      <c r="AD724" s="41">
        <v>700</v>
      </c>
      <c r="AE724" s="1">
        <f t="shared" si="483"/>
        <v>200</v>
      </c>
      <c r="AF724" s="1">
        <f t="shared" si="484"/>
        <v>700</v>
      </c>
    </row>
    <row r="725" spans="1:32">
      <c r="A725" s="13">
        <v>17100</v>
      </c>
      <c r="B725" s="11">
        <v>23120</v>
      </c>
      <c r="C725" s="11" t="s">
        <v>401</v>
      </c>
      <c r="D725" s="7">
        <v>480.8</v>
      </c>
      <c r="E725" s="7"/>
      <c r="F725" s="7">
        <f t="shared" si="486"/>
        <v>480.8</v>
      </c>
      <c r="G725" s="7"/>
      <c r="H725" s="7">
        <f t="shared" si="487"/>
        <v>480.8</v>
      </c>
      <c r="I725" s="1"/>
      <c r="J725" s="1">
        <f t="shared" si="488"/>
        <v>480.8</v>
      </c>
      <c r="K725" s="1"/>
      <c r="L725" s="1">
        <f t="shared" si="496"/>
        <v>480.8</v>
      </c>
      <c r="M725" s="8"/>
      <c r="N725" s="1">
        <f t="shared" si="489"/>
        <v>480.8</v>
      </c>
      <c r="O725" s="1"/>
      <c r="P725" s="3"/>
      <c r="Q725" s="1">
        <f t="shared" si="490"/>
        <v>480.8</v>
      </c>
      <c r="R725" s="3"/>
      <c r="S725" s="3"/>
      <c r="T725" s="1">
        <f t="shared" si="497"/>
        <v>480.8</v>
      </c>
      <c r="U725" s="1">
        <f t="shared" ref="U725:U734" si="498">R725+T725</f>
        <v>480.8</v>
      </c>
      <c r="V725" s="1">
        <f t="shared" si="492"/>
        <v>0</v>
      </c>
      <c r="W725" s="1">
        <f t="shared" si="493"/>
        <v>480.8</v>
      </c>
      <c r="X725" s="41">
        <v>500</v>
      </c>
      <c r="Y725" s="41">
        <f t="shared" si="494"/>
        <v>19.199999999999989</v>
      </c>
      <c r="Z725" s="1">
        <f t="shared" si="495"/>
        <v>500</v>
      </c>
      <c r="AA725" s="41">
        <v>500</v>
      </c>
      <c r="AB725" s="1">
        <f t="shared" si="477"/>
        <v>0</v>
      </c>
      <c r="AC725" s="1">
        <f t="shared" si="478"/>
        <v>500</v>
      </c>
      <c r="AD725" s="41">
        <v>500</v>
      </c>
      <c r="AE725" s="1">
        <f t="shared" si="483"/>
        <v>0</v>
      </c>
      <c r="AF725" s="1">
        <f t="shared" si="484"/>
        <v>500</v>
      </c>
    </row>
    <row r="726" spans="1:32">
      <c r="A726" s="13">
        <v>23110</v>
      </c>
      <c r="B726" s="11">
        <v>23120</v>
      </c>
      <c r="C726" s="11" t="s">
        <v>331</v>
      </c>
      <c r="D726" s="8"/>
      <c r="E726" s="8"/>
      <c r="F726" s="8"/>
      <c r="G726" s="8"/>
      <c r="H726" s="8"/>
      <c r="I726" s="8"/>
      <c r="J726" s="8"/>
      <c r="K726" s="8"/>
      <c r="L726" s="10">
        <v>1000</v>
      </c>
      <c r="M726" s="10">
        <v>0</v>
      </c>
      <c r="N726" s="7">
        <f t="shared" si="489"/>
        <v>1000</v>
      </c>
      <c r="O726" s="7"/>
      <c r="P726" s="3"/>
      <c r="Q726" s="1">
        <f t="shared" si="490"/>
        <v>1000</v>
      </c>
      <c r="R726" s="3"/>
      <c r="S726" s="3"/>
      <c r="T726" s="1">
        <f t="shared" si="497"/>
        <v>1000</v>
      </c>
      <c r="U726" s="1">
        <f t="shared" si="498"/>
        <v>1000</v>
      </c>
      <c r="V726" s="1">
        <f t="shared" si="492"/>
        <v>0</v>
      </c>
      <c r="W726" s="1">
        <f t="shared" si="493"/>
        <v>1000</v>
      </c>
      <c r="X726" s="41">
        <v>500</v>
      </c>
      <c r="Y726" s="41">
        <f t="shared" si="494"/>
        <v>-500</v>
      </c>
      <c r="Z726" s="1">
        <f t="shared" si="495"/>
        <v>500</v>
      </c>
      <c r="AA726" s="41">
        <v>500</v>
      </c>
      <c r="AB726" s="41">
        <f t="shared" si="477"/>
        <v>0</v>
      </c>
      <c r="AC726" s="1">
        <f t="shared" si="478"/>
        <v>500</v>
      </c>
      <c r="AD726" s="41">
        <v>500</v>
      </c>
      <c r="AE726" s="1">
        <f t="shared" si="483"/>
        <v>0</v>
      </c>
      <c r="AF726" s="1">
        <f t="shared" si="484"/>
        <v>500</v>
      </c>
    </row>
    <row r="727" spans="1:32">
      <c r="A727" s="42">
        <v>23113</v>
      </c>
      <c r="B727" s="11">
        <v>23120</v>
      </c>
      <c r="C727" s="11" t="s">
        <v>356</v>
      </c>
      <c r="D727" s="7">
        <v>590.65</v>
      </c>
      <c r="E727" s="7">
        <v>500</v>
      </c>
      <c r="F727" s="7">
        <f t="shared" ref="F727:F741" si="499">D727-E727</f>
        <v>90.649999999999977</v>
      </c>
      <c r="G727" s="7">
        <v>-90.65</v>
      </c>
      <c r="H727" s="7">
        <f t="shared" ref="H727:H741" si="500">D727+G727</f>
        <v>500</v>
      </c>
      <c r="I727" s="7"/>
      <c r="J727" s="7">
        <f t="shared" ref="J727:J741" si="501">H727-I727</f>
        <v>500</v>
      </c>
      <c r="K727" s="7"/>
      <c r="L727" s="7">
        <v>500</v>
      </c>
      <c r="M727" s="7">
        <v>0</v>
      </c>
      <c r="N727" s="7">
        <f t="shared" si="489"/>
        <v>500</v>
      </c>
      <c r="O727" s="7"/>
      <c r="Q727" s="1">
        <f t="shared" si="490"/>
        <v>500</v>
      </c>
      <c r="T727" s="1">
        <f t="shared" si="497"/>
        <v>500</v>
      </c>
      <c r="U727" s="1">
        <f t="shared" si="498"/>
        <v>500</v>
      </c>
      <c r="V727" s="1">
        <f t="shared" si="492"/>
        <v>0</v>
      </c>
      <c r="W727" s="1">
        <f t="shared" si="493"/>
        <v>500</v>
      </c>
      <c r="X727" s="1">
        <v>100</v>
      </c>
      <c r="Y727" s="41">
        <f t="shared" si="494"/>
        <v>-400</v>
      </c>
      <c r="Z727" s="1">
        <f t="shared" si="495"/>
        <v>100</v>
      </c>
      <c r="AA727" s="1">
        <v>1500</v>
      </c>
      <c r="AB727" s="41">
        <f t="shared" ref="AB727:AB741" si="502">AA727-Z727</f>
        <v>1400</v>
      </c>
      <c r="AC727" s="1">
        <f t="shared" ref="AC727:AC741" si="503">Z727+AB727</f>
        <v>1500</v>
      </c>
      <c r="AD727" s="41">
        <v>2000</v>
      </c>
      <c r="AE727" s="1">
        <f t="shared" si="483"/>
        <v>500</v>
      </c>
      <c r="AF727" s="1">
        <f t="shared" si="484"/>
        <v>2000</v>
      </c>
    </row>
    <row r="728" spans="1:32">
      <c r="A728" s="11">
        <v>32000</v>
      </c>
      <c r="B728" s="11">
        <v>23120</v>
      </c>
      <c r="C728" s="11" t="s">
        <v>374</v>
      </c>
      <c r="D728" s="7">
        <v>800</v>
      </c>
      <c r="E728" s="7"/>
      <c r="F728" s="7">
        <f t="shared" si="499"/>
        <v>800</v>
      </c>
      <c r="G728" s="7"/>
      <c r="H728" s="7">
        <f t="shared" si="500"/>
        <v>800</v>
      </c>
      <c r="I728" s="1"/>
      <c r="J728" s="1">
        <f t="shared" si="501"/>
        <v>800</v>
      </c>
      <c r="K728" s="1"/>
      <c r="L728" s="1">
        <f>H728+K728</f>
        <v>800</v>
      </c>
      <c r="N728" s="1">
        <f t="shared" si="489"/>
        <v>800</v>
      </c>
      <c r="O728" s="1"/>
      <c r="P728" s="3"/>
      <c r="Q728" s="1">
        <f t="shared" si="490"/>
        <v>800</v>
      </c>
      <c r="R728" s="3"/>
      <c r="S728" s="3"/>
      <c r="T728" s="1">
        <f t="shared" si="497"/>
        <v>800</v>
      </c>
      <c r="U728" s="1">
        <f t="shared" si="498"/>
        <v>800</v>
      </c>
      <c r="V728" s="1">
        <f t="shared" si="492"/>
        <v>0</v>
      </c>
      <c r="W728" s="1">
        <f t="shared" si="493"/>
        <v>800</v>
      </c>
      <c r="X728" s="41">
        <v>100</v>
      </c>
      <c r="Y728" s="41">
        <f t="shared" si="494"/>
        <v>-700</v>
      </c>
      <c r="Z728" s="1">
        <f t="shared" si="495"/>
        <v>100</v>
      </c>
      <c r="AA728" s="41">
        <v>200</v>
      </c>
      <c r="AB728" s="41">
        <f t="shared" si="502"/>
        <v>100</v>
      </c>
      <c r="AC728" s="1">
        <f t="shared" si="503"/>
        <v>200</v>
      </c>
      <c r="AD728" s="41">
        <v>200</v>
      </c>
      <c r="AE728" s="1">
        <f t="shared" si="483"/>
        <v>0</v>
      </c>
      <c r="AF728" s="1">
        <f t="shared" si="484"/>
        <v>200</v>
      </c>
    </row>
    <row r="729" spans="1:32">
      <c r="A729" s="11">
        <v>33220</v>
      </c>
      <c r="B729" s="11">
        <v>23120</v>
      </c>
      <c r="C729" s="11" t="s">
        <v>475</v>
      </c>
      <c r="D729" s="7">
        <v>400</v>
      </c>
      <c r="E729" s="7"/>
      <c r="F729" s="7">
        <f t="shared" si="499"/>
        <v>400</v>
      </c>
      <c r="G729" s="7"/>
      <c r="H729" s="7">
        <f t="shared" si="500"/>
        <v>400</v>
      </c>
      <c r="I729" s="1"/>
      <c r="J729" s="1">
        <f t="shared" si="501"/>
        <v>400</v>
      </c>
      <c r="K729" s="1"/>
      <c r="L729" s="1">
        <f>H729+K729</f>
        <v>400</v>
      </c>
      <c r="N729" s="1">
        <f t="shared" si="489"/>
        <v>400</v>
      </c>
      <c r="O729" s="1"/>
      <c r="Q729" s="1">
        <f t="shared" si="490"/>
        <v>400</v>
      </c>
      <c r="T729" s="1">
        <f t="shared" si="497"/>
        <v>400</v>
      </c>
      <c r="U729" s="1">
        <f t="shared" si="498"/>
        <v>400</v>
      </c>
      <c r="V729" s="1">
        <f t="shared" si="492"/>
        <v>0</v>
      </c>
      <c r="W729" s="1">
        <f t="shared" si="493"/>
        <v>400</v>
      </c>
      <c r="X729" s="1">
        <v>200</v>
      </c>
      <c r="Y729" s="41">
        <f t="shared" si="494"/>
        <v>-200</v>
      </c>
      <c r="Z729" s="1">
        <f t="shared" si="495"/>
        <v>200</v>
      </c>
      <c r="AA729" s="1">
        <v>400</v>
      </c>
      <c r="AB729" s="41">
        <f t="shared" si="502"/>
        <v>200</v>
      </c>
      <c r="AC729" s="1">
        <f t="shared" si="503"/>
        <v>400</v>
      </c>
      <c r="AD729" s="41">
        <v>400</v>
      </c>
      <c r="AE729" s="1">
        <f t="shared" si="483"/>
        <v>0</v>
      </c>
      <c r="AF729" s="1">
        <f t="shared" si="484"/>
        <v>400</v>
      </c>
    </row>
    <row r="730" spans="1:32">
      <c r="A730" s="11">
        <v>33400</v>
      </c>
      <c r="B730" s="11">
        <v>23120</v>
      </c>
      <c r="C730" s="11" t="s">
        <v>431</v>
      </c>
      <c r="D730" s="7">
        <v>400</v>
      </c>
      <c r="E730" s="7"/>
      <c r="F730" s="7">
        <f t="shared" si="499"/>
        <v>400</v>
      </c>
      <c r="G730" s="7"/>
      <c r="H730" s="7">
        <f t="shared" si="500"/>
        <v>400</v>
      </c>
      <c r="I730" s="1"/>
      <c r="J730" s="1">
        <f t="shared" si="501"/>
        <v>400</v>
      </c>
      <c r="K730" s="1"/>
      <c r="L730" s="1">
        <f>H730+K730</f>
        <v>400</v>
      </c>
      <c r="N730" s="1">
        <f t="shared" si="489"/>
        <v>400</v>
      </c>
      <c r="O730" s="1"/>
      <c r="Q730" s="1">
        <f t="shared" si="490"/>
        <v>400</v>
      </c>
      <c r="T730" s="1">
        <f t="shared" si="497"/>
        <v>400</v>
      </c>
      <c r="U730" s="1">
        <f t="shared" si="498"/>
        <v>400</v>
      </c>
      <c r="V730" s="1">
        <f t="shared" si="492"/>
        <v>0</v>
      </c>
      <c r="W730" s="1">
        <f t="shared" si="493"/>
        <v>400</v>
      </c>
      <c r="X730" s="1">
        <v>100</v>
      </c>
      <c r="Y730" s="41">
        <f t="shared" si="494"/>
        <v>-300</v>
      </c>
      <c r="Z730" s="1">
        <f t="shared" si="495"/>
        <v>100</v>
      </c>
      <c r="AA730" s="1">
        <v>1500</v>
      </c>
      <c r="AB730" s="1">
        <f t="shared" si="502"/>
        <v>1400</v>
      </c>
      <c r="AC730" s="1">
        <f t="shared" si="503"/>
        <v>1500</v>
      </c>
      <c r="AD730" s="41">
        <v>1000</v>
      </c>
      <c r="AE730" s="1">
        <f t="shared" si="483"/>
        <v>-500</v>
      </c>
      <c r="AF730" s="1">
        <f t="shared" si="484"/>
        <v>1000</v>
      </c>
    </row>
    <row r="731" spans="1:32">
      <c r="A731" s="11">
        <v>33600</v>
      </c>
      <c r="B731" s="11">
        <v>23120</v>
      </c>
      <c r="C731" s="11" t="s">
        <v>468</v>
      </c>
      <c r="D731" s="7">
        <v>1923.24</v>
      </c>
      <c r="E731" s="7"/>
      <c r="F731" s="7">
        <f t="shared" si="499"/>
        <v>1923.24</v>
      </c>
      <c r="G731" s="7"/>
      <c r="H731" s="7">
        <f t="shared" si="500"/>
        <v>1923.24</v>
      </c>
      <c r="I731" s="1"/>
      <c r="J731" s="1">
        <f t="shared" si="501"/>
        <v>1923.24</v>
      </c>
      <c r="K731" s="1"/>
      <c r="L731" s="1">
        <f>H731+K731</f>
        <v>1923.24</v>
      </c>
      <c r="N731" s="1">
        <f t="shared" si="489"/>
        <v>1923.24</v>
      </c>
      <c r="O731" s="1"/>
      <c r="Q731" s="1">
        <f t="shared" si="490"/>
        <v>1923.24</v>
      </c>
      <c r="T731" s="1">
        <f t="shared" si="497"/>
        <v>1923.24</v>
      </c>
      <c r="U731" s="1">
        <f t="shared" si="498"/>
        <v>1923.24</v>
      </c>
      <c r="V731" s="1">
        <f t="shared" si="492"/>
        <v>0</v>
      </c>
      <c r="W731" s="1">
        <f t="shared" si="493"/>
        <v>1923.24</v>
      </c>
      <c r="X731" s="1">
        <v>500</v>
      </c>
      <c r="Y731" s="41">
        <f t="shared" si="494"/>
        <v>-1423.24</v>
      </c>
      <c r="Z731" s="1">
        <f t="shared" si="495"/>
        <v>500</v>
      </c>
      <c r="AA731" s="1">
        <v>1900</v>
      </c>
      <c r="AB731" s="1">
        <f t="shared" si="502"/>
        <v>1400</v>
      </c>
      <c r="AC731" s="1">
        <f t="shared" si="503"/>
        <v>1900</v>
      </c>
      <c r="AD731" s="41">
        <v>1000</v>
      </c>
      <c r="AE731" s="1">
        <f t="shared" si="483"/>
        <v>-900</v>
      </c>
      <c r="AF731" s="1">
        <f t="shared" si="484"/>
        <v>1000</v>
      </c>
    </row>
    <row r="732" spans="1:32">
      <c r="A732" s="11">
        <v>33700</v>
      </c>
      <c r="B732" s="11">
        <v>23120</v>
      </c>
      <c r="C732" s="11" t="s">
        <v>386</v>
      </c>
      <c r="D732" s="7">
        <v>950</v>
      </c>
      <c r="E732" s="7"/>
      <c r="F732" s="7">
        <f t="shared" si="499"/>
        <v>950</v>
      </c>
      <c r="G732" s="7"/>
      <c r="H732" s="7">
        <f t="shared" si="500"/>
        <v>950</v>
      </c>
      <c r="I732" s="1"/>
      <c r="J732" s="1">
        <f t="shared" si="501"/>
        <v>950</v>
      </c>
      <c r="K732" s="1"/>
      <c r="L732" s="1">
        <f>H732+K732</f>
        <v>950</v>
      </c>
      <c r="M732" s="8"/>
      <c r="N732" s="1">
        <f t="shared" si="489"/>
        <v>950</v>
      </c>
      <c r="O732" s="1"/>
      <c r="Q732" s="1">
        <f t="shared" si="490"/>
        <v>950</v>
      </c>
      <c r="T732" s="1">
        <f t="shared" si="497"/>
        <v>950</v>
      </c>
      <c r="U732" s="1">
        <f t="shared" si="498"/>
        <v>950</v>
      </c>
      <c r="V732" s="1">
        <f t="shared" si="492"/>
        <v>0</v>
      </c>
      <c r="W732" s="1">
        <f t="shared" si="493"/>
        <v>950</v>
      </c>
      <c r="X732" s="1">
        <v>900</v>
      </c>
      <c r="Y732" s="41">
        <f t="shared" si="494"/>
        <v>-50</v>
      </c>
      <c r="Z732" s="1">
        <f t="shared" si="495"/>
        <v>900</v>
      </c>
      <c r="AA732" s="1">
        <v>900</v>
      </c>
      <c r="AB732" s="1">
        <f t="shared" si="502"/>
        <v>0</v>
      </c>
      <c r="AC732" s="1">
        <f t="shared" si="503"/>
        <v>900</v>
      </c>
      <c r="AD732" s="41">
        <v>900</v>
      </c>
      <c r="AE732" s="1">
        <f t="shared" si="483"/>
        <v>0</v>
      </c>
      <c r="AF732" s="1">
        <f t="shared" si="484"/>
        <v>900</v>
      </c>
    </row>
    <row r="733" spans="1:32">
      <c r="A733" s="11">
        <v>33710</v>
      </c>
      <c r="B733" s="11">
        <v>23120</v>
      </c>
      <c r="C733" s="11" t="s">
        <v>386</v>
      </c>
      <c r="D733" s="7">
        <v>300.51</v>
      </c>
      <c r="E733" s="7"/>
      <c r="F733" s="7">
        <f t="shared" si="499"/>
        <v>300.51</v>
      </c>
      <c r="G733" s="7"/>
      <c r="H733" s="7">
        <f t="shared" si="500"/>
        <v>300.51</v>
      </c>
      <c r="I733" s="7"/>
      <c r="J733" s="7">
        <f t="shared" si="501"/>
        <v>300.51</v>
      </c>
      <c r="K733" s="7"/>
      <c r="L733" s="7">
        <v>300.51</v>
      </c>
      <c r="M733" s="7">
        <v>0</v>
      </c>
      <c r="N733" s="7">
        <f t="shared" si="489"/>
        <v>300.51</v>
      </c>
      <c r="O733" s="7"/>
      <c r="Q733" s="1">
        <f t="shared" si="490"/>
        <v>300.51</v>
      </c>
      <c r="T733" s="1">
        <f t="shared" si="497"/>
        <v>300.51</v>
      </c>
      <c r="U733" s="1">
        <f t="shared" si="498"/>
        <v>300.51</v>
      </c>
      <c r="V733" s="1">
        <f t="shared" si="492"/>
        <v>0</v>
      </c>
      <c r="W733" s="1">
        <f t="shared" si="493"/>
        <v>300.51</v>
      </c>
      <c r="X733" s="1">
        <v>300</v>
      </c>
      <c r="Y733" s="41">
        <f t="shared" si="494"/>
        <v>-0.50999999999999091</v>
      </c>
      <c r="Z733" s="1">
        <f t="shared" si="495"/>
        <v>300</v>
      </c>
      <c r="AA733" s="1">
        <f>X733+Z733</f>
        <v>600</v>
      </c>
      <c r="AB733" s="1">
        <f t="shared" si="502"/>
        <v>300</v>
      </c>
      <c r="AC733" s="1">
        <f t="shared" si="503"/>
        <v>600</v>
      </c>
      <c r="AD733" s="41">
        <v>100</v>
      </c>
      <c r="AE733" s="1">
        <f t="shared" si="483"/>
        <v>-500</v>
      </c>
      <c r="AF733" s="1">
        <f t="shared" si="484"/>
        <v>100</v>
      </c>
    </row>
    <row r="734" spans="1:32">
      <c r="A734" s="11">
        <v>34000</v>
      </c>
      <c r="B734" s="11">
        <v>23120</v>
      </c>
      <c r="C734" s="11" t="s">
        <v>452</v>
      </c>
      <c r="D734" s="7">
        <v>2003.24</v>
      </c>
      <c r="E734" s="7"/>
      <c r="F734" s="7">
        <f t="shared" si="499"/>
        <v>2003.24</v>
      </c>
      <c r="G734" s="7"/>
      <c r="H734" s="7">
        <f t="shared" si="500"/>
        <v>2003.24</v>
      </c>
      <c r="I734" s="1"/>
      <c r="J734" s="1">
        <f t="shared" si="501"/>
        <v>2003.24</v>
      </c>
      <c r="K734" s="1"/>
      <c r="L734" s="1">
        <f t="shared" ref="L734:L740" si="504">H734+K734</f>
        <v>2003.24</v>
      </c>
      <c r="N734" s="1">
        <f t="shared" si="489"/>
        <v>2003.24</v>
      </c>
      <c r="O734" s="1"/>
      <c r="Q734" s="1">
        <f t="shared" si="490"/>
        <v>2003.24</v>
      </c>
      <c r="T734" s="1">
        <f t="shared" si="497"/>
        <v>2003.24</v>
      </c>
      <c r="U734" s="1">
        <f t="shared" si="498"/>
        <v>2003.24</v>
      </c>
      <c r="V734" s="1">
        <f t="shared" si="492"/>
        <v>0</v>
      </c>
      <c r="W734" s="1">
        <f t="shared" si="493"/>
        <v>2003.24</v>
      </c>
      <c r="X734" s="1">
        <v>500</v>
      </c>
      <c r="Y734" s="41">
        <f t="shared" si="494"/>
        <v>-1503.24</v>
      </c>
      <c r="Z734" s="1">
        <f t="shared" si="495"/>
        <v>500</v>
      </c>
      <c r="AA734" s="1">
        <v>100</v>
      </c>
      <c r="AB734" s="1">
        <f t="shared" si="502"/>
        <v>-400</v>
      </c>
      <c r="AC734" s="1">
        <f t="shared" si="503"/>
        <v>100</v>
      </c>
      <c r="AD734" s="41">
        <v>100</v>
      </c>
      <c r="AE734" s="1">
        <f t="shared" si="483"/>
        <v>0</v>
      </c>
      <c r="AF734" s="1">
        <f t="shared" si="484"/>
        <v>100</v>
      </c>
    </row>
    <row r="735" spans="1:32">
      <c r="A735" s="11">
        <v>41000</v>
      </c>
      <c r="B735" s="11">
        <v>23120</v>
      </c>
      <c r="C735" s="11" t="s">
        <v>403</v>
      </c>
      <c r="D735" s="7">
        <v>400</v>
      </c>
      <c r="E735" s="7"/>
      <c r="F735" s="7">
        <f t="shared" si="499"/>
        <v>400</v>
      </c>
      <c r="G735" s="7"/>
      <c r="H735" s="7">
        <f t="shared" si="500"/>
        <v>400</v>
      </c>
      <c r="I735" s="1"/>
      <c r="J735" s="1">
        <f t="shared" si="501"/>
        <v>400</v>
      </c>
      <c r="K735" s="1"/>
      <c r="L735" s="1">
        <f t="shared" si="504"/>
        <v>400</v>
      </c>
      <c r="N735" s="1">
        <f t="shared" si="489"/>
        <v>400</v>
      </c>
      <c r="O735" s="1"/>
      <c r="Q735" s="1">
        <f t="shared" si="490"/>
        <v>400</v>
      </c>
      <c r="T735" s="1">
        <f t="shared" si="497"/>
        <v>400</v>
      </c>
      <c r="U735" s="1">
        <v>400</v>
      </c>
      <c r="V735" s="1">
        <f t="shared" si="492"/>
        <v>0</v>
      </c>
      <c r="W735" s="1">
        <f t="shared" si="493"/>
        <v>400</v>
      </c>
      <c r="X735" s="1">
        <v>400</v>
      </c>
      <c r="Y735" s="41">
        <f t="shared" si="494"/>
        <v>0</v>
      </c>
      <c r="Z735" s="1">
        <f t="shared" si="495"/>
        <v>400</v>
      </c>
      <c r="AA735" s="1">
        <v>400</v>
      </c>
      <c r="AB735" s="1">
        <f t="shared" si="502"/>
        <v>0</v>
      </c>
      <c r="AC735" s="1">
        <f t="shared" si="503"/>
        <v>400</v>
      </c>
      <c r="AD735" s="41">
        <v>400</v>
      </c>
      <c r="AE735" s="1">
        <f t="shared" si="483"/>
        <v>0</v>
      </c>
      <c r="AF735" s="1">
        <f t="shared" si="484"/>
        <v>400</v>
      </c>
    </row>
    <row r="736" spans="1:32">
      <c r="A736" s="13">
        <v>43200</v>
      </c>
      <c r="B736" s="11">
        <v>23120</v>
      </c>
      <c r="C736" s="11" t="s">
        <v>527</v>
      </c>
      <c r="D736" s="7">
        <v>16320</v>
      </c>
      <c r="E736" s="7">
        <v>5500</v>
      </c>
      <c r="F736" s="7">
        <f t="shared" si="499"/>
        <v>10820</v>
      </c>
      <c r="G736" s="7">
        <v>-10820</v>
      </c>
      <c r="H736" s="7">
        <f t="shared" si="500"/>
        <v>5500</v>
      </c>
      <c r="I736" s="1"/>
      <c r="J736" s="1">
        <f t="shared" si="501"/>
        <v>5500</v>
      </c>
      <c r="K736" s="1"/>
      <c r="L736" s="1">
        <f t="shared" si="504"/>
        <v>5500</v>
      </c>
      <c r="M736" s="8"/>
      <c r="N736" s="1">
        <f t="shared" si="489"/>
        <v>5500</v>
      </c>
      <c r="O736" s="1"/>
      <c r="Q736" s="1">
        <f t="shared" si="490"/>
        <v>5500</v>
      </c>
      <c r="T736" s="1">
        <f t="shared" si="497"/>
        <v>5500</v>
      </c>
      <c r="U736" s="1">
        <v>7000</v>
      </c>
      <c r="V736" s="1">
        <f t="shared" si="492"/>
        <v>1500</v>
      </c>
      <c r="W736" s="1">
        <f t="shared" si="493"/>
        <v>7000</v>
      </c>
      <c r="X736" s="1">
        <v>10000</v>
      </c>
      <c r="Y736" s="41">
        <f t="shared" si="494"/>
        <v>3000</v>
      </c>
      <c r="Z736" s="1">
        <f t="shared" si="495"/>
        <v>10000</v>
      </c>
      <c r="AA736" s="41">
        <v>5000</v>
      </c>
      <c r="AB736" s="41">
        <f t="shared" si="502"/>
        <v>-5000</v>
      </c>
      <c r="AC736" s="1">
        <f t="shared" si="503"/>
        <v>5000</v>
      </c>
      <c r="AD736" s="41">
        <v>8000</v>
      </c>
      <c r="AE736" s="1">
        <f t="shared" si="483"/>
        <v>3000</v>
      </c>
      <c r="AF736" s="1">
        <f t="shared" si="484"/>
        <v>8000</v>
      </c>
    </row>
    <row r="737" spans="1:32">
      <c r="A737" s="13">
        <v>43210</v>
      </c>
      <c r="B737" s="11">
        <v>23120</v>
      </c>
      <c r="C737" s="42" t="s">
        <v>846</v>
      </c>
      <c r="D737" s="7">
        <v>0</v>
      </c>
      <c r="E737" s="7">
        <v>24910.52</v>
      </c>
      <c r="F737" s="7">
        <f t="shared" si="499"/>
        <v>-24910.52</v>
      </c>
      <c r="G737" s="7">
        <v>24910.52</v>
      </c>
      <c r="H737" s="7">
        <f t="shared" si="500"/>
        <v>24910.52</v>
      </c>
      <c r="I737" s="1">
        <v>0</v>
      </c>
      <c r="J737" s="1">
        <f t="shared" si="501"/>
        <v>24910.52</v>
      </c>
      <c r="K737" s="1">
        <v>-24910.52</v>
      </c>
      <c r="L737" s="1">
        <f t="shared" si="504"/>
        <v>0</v>
      </c>
      <c r="M737" s="7">
        <f>9884.84</f>
        <v>9884.84</v>
      </c>
      <c r="N737" s="1">
        <f t="shared" si="489"/>
        <v>9884.84</v>
      </c>
      <c r="O737" s="1">
        <v>9884.84</v>
      </c>
      <c r="P737" s="1">
        <f>O737-N737</f>
        <v>0</v>
      </c>
      <c r="Q737" s="1">
        <f t="shared" si="490"/>
        <v>9884.84</v>
      </c>
      <c r="R737" s="41">
        <v>9884.84</v>
      </c>
      <c r="S737" s="1">
        <f>R737-Q737</f>
        <v>0</v>
      </c>
      <c r="T737" s="1">
        <f t="shared" si="497"/>
        <v>9884.84</v>
      </c>
      <c r="U737" s="41">
        <v>0</v>
      </c>
      <c r="V737" s="1">
        <f t="shared" si="492"/>
        <v>-9884.84</v>
      </c>
      <c r="W737" s="1">
        <f t="shared" si="493"/>
        <v>0</v>
      </c>
      <c r="X737" s="41">
        <v>928.72</v>
      </c>
      <c r="Y737" s="41">
        <f t="shared" si="494"/>
        <v>928.72</v>
      </c>
      <c r="Z737" s="47">
        <v>0</v>
      </c>
      <c r="AA737" s="41">
        <v>5000</v>
      </c>
      <c r="AB737" s="41">
        <f t="shared" si="502"/>
        <v>5000</v>
      </c>
      <c r="AC737" s="1">
        <f t="shared" si="503"/>
        <v>5000</v>
      </c>
      <c r="AD737" s="41">
        <v>5000</v>
      </c>
      <c r="AE737" s="1">
        <f t="shared" si="483"/>
        <v>0</v>
      </c>
      <c r="AF737" s="1">
        <f t="shared" si="484"/>
        <v>5000</v>
      </c>
    </row>
    <row r="738" spans="1:32" s="2" customFormat="1">
      <c r="A738" s="11">
        <v>45900</v>
      </c>
      <c r="B738" s="11">
        <v>23120</v>
      </c>
      <c r="C738" s="11" t="s">
        <v>178</v>
      </c>
      <c r="D738" s="7">
        <v>600</v>
      </c>
      <c r="E738" s="7"/>
      <c r="F738" s="7">
        <f t="shared" si="499"/>
        <v>600</v>
      </c>
      <c r="G738" s="7"/>
      <c r="H738" s="7">
        <f t="shared" si="500"/>
        <v>600</v>
      </c>
      <c r="I738" s="1"/>
      <c r="J738" s="1">
        <f t="shared" si="501"/>
        <v>600</v>
      </c>
      <c r="K738" s="1"/>
      <c r="L738" s="1">
        <f t="shared" si="504"/>
        <v>600</v>
      </c>
      <c r="M738" s="7"/>
      <c r="N738" s="1">
        <f t="shared" si="489"/>
        <v>600</v>
      </c>
      <c r="O738" s="1"/>
      <c r="P738" s="1"/>
      <c r="Q738" s="1">
        <f t="shared" si="490"/>
        <v>600</v>
      </c>
      <c r="R738" s="1"/>
      <c r="S738" s="1"/>
      <c r="T738" s="1">
        <f t="shared" si="497"/>
        <v>600</v>
      </c>
      <c r="U738" s="1">
        <f>R738+T738</f>
        <v>600</v>
      </c>
      <c r="V738" s="1">
        <f t="shared" si="492"/>
        <v>0</v>
      </c>
      <c r="W738" s="1">
        <f t="shared" si="493"/>
        <v>600</v>
      </c>
      <c r="X738" s="1">
        <v>150</v>
      </c>
      <c r="Y738" s="41">
        <f t="shared" si="494"/>
        <v>-450</v>
      </c>
      <c r="Z738" s="1">
        <f>W738+Y738</f>
        <v>150</v>
      </c>
      <c r="AA738" s="1">
        <v>150</v>
      </c>
      <c r="AB738" s="1">
        <f t="shared" si="502"/>
        <v>0</v>
      </c>
      <c r="AC738" s="1">
        <f t="shared" si="503"/>
        <v>150</v>
      </c>
      <c r="AD738" s="41">
        <v>150</v>
      </c>
      <c r="AE738" s="1">
        <f t="shared" si="483"/>
        <v>0</v>
      </c>
      <c r="AF738" s="1">
        <f t="shared" si="484"/>
        <v>150</v>
      </c>
    </row>
    <row r="739" spans="1:32">
      <c r="A739" s="11">
        <v>49300</v>
      </c>
      <c r="B739" s="11">
        <v>23120</v>
      </c>
      <c r="C739" s="11" t="s">
        <v>386</v>
      </c>
      <c r="D739" s="7">
        <v>450.76</v>
      </c>
      <c r="E739" s="7"/>
      <c r="F739" s="7">
        <f t="shared" si="499"/>
        <v>450.76</v>
      </c>
      <c r="G739" s="7"/>
      <c r="H739" s="7">
        <f t="shared" si="500"/>
        <v>450.76</v>
      </c>
      <c r="I739" s="3"/>
      <c r="J739" s="1">
        <f t="shared" si="501"/>
        <v>450.76</v>
      </c>
      <c r="K739" s="3"/>
      <c r="L739" s="1">
        <f t="shared" si="504"/>
        <v>450.76</v>
      </c>
      <c r="N739" s="1">
        <f t="shared" si="489"/>
        <v>450.76</v>
      </c>
      <c r="O739" s="1"/>
      <c r="P739" s="3"/>
      <c r="Q739" s="1">
        <f t="shared" si="490"/>
        <v>450.76</v>
      </c>
      <c r="R739" s="3"/>
      <c r="S739" s="3"/>
      <c r="T739" s="1">
        <f t="shared" si="497"/>
        <v>450.76</v>
      </c>
      <c r="U739" s="1">
        <f>R739+T739</f>
        <v>450.76</v>
      </c>
      <c r="V739" s="1">
        <f t="shared" si="492"/>
        <v>0</v>
      </c>
      <c r="W739" s="1">
        <f t="shared" si="493"/>
        <v>450.76</v>
      </c>
      <c r="X739" s="41">
        <v>100</v>
      </c>
      <c r="Y739" s="41">
        <f t="shared" si="494"/>
        <v>-350.76</v>
      </c>
      <c r="Z739" s="1">
        <f>W739+Y739</f>
        <v>100</v>
      </c>
      <c r="AA739" s="41">
        <v>100</v>
      </c>
      <c r="AB739" s="1">
        <f t="shared" si="502"/>
        <v>0</v>
      </c>
      <c r="AC739" s="1">
        <f t="shared" si="503"/>
        <v>100</v>
      </c>
      <c r="AD739" s="41">
        <v>100</v>
      </c>
      <c r="AE739" s="1">
        <f t="shared" si="483"/>
        <v>0</v>
      </c>
      <c r="AF739" s="1">
        <f t="shared" si="484"/>
        <v>100</v>
      </c>
    </row>
    <row r="740" spans="1:32">
      <c r="A740" s="11">
        <v>92000</v>
      </c>
      <c r="B740" s="11">
        <v>23120</v>
      </c>
      <c r="C740" s="11" t="s">
        <v>259</v>
      </c>
      <c r="D740" s="7">
        <v>1202.02</v>
      </c>
      <c r="E740" s="7"/>
      <c r="F740" s="7">
        <f t="shared" si="499"/>
        <v>1202.02</v>
      </c>
      <c r="G740" s="7"/>
      <c r="H740" s="7">
        <f t="shared" si="500"/>
        <v>1202.02</v>
      </c>
      <c r="I740" s="1"/>
      <c r="J740" s="1">
        <f t="shared" si="501"/>
        <v>1202.02</v>
      </c>
      <c r="K740" s="1"/>
      <c r="L740" s="1">
        <f t="shared" si="504"/>
        <v>1202.02</v>
      </c>
      <c r="N740" s="1">
        <f t="shared" si="489"/>
        <v>1202.02</v>
      </c>
      <c r="O740" s="1"/>
      <c r="Q740" s="1">
        <f t="shared" si="490"/>
        <v>1202.02</v>
      </c>
      <c r="T740" s="1">
        <f t="shared" si="497"/>
        <v>1202.02</v>
      </c>
      <c r="U740" s="1">
        <f>R740+T740</f>
        <v>1202.02</v>
      </c>
      <c r="V740" s="1">
        <f t="shared" si="492"/>
        <v>0</v>
      </c>
      <c r="W740" s="1">
        <f t="shared" si="493"/>
        <v>1202.02</v>
      </c>
      <c r="X740" s="1">
        <v>1000</v>
      </c>
      <c r="Y740" s="41">
        <f t="shared" si="494"/>
        <v>-202.01999999999998</v>
      </c>
      <c r="Z740" s="1">
        <f>W740+Y740</f>
        <v>1000</v>
      </c>
      <c r="AA740" s="1">
        <v>1200</v>
      </c>
      <c r="AB740" s="1">
        <f t="shared" si="502"/>
        <v>200</v>
      </c>
      <c r="AC740" s="1">
        <f t="shared" si="503"/>
        <v>1200</v>
      </c>
      <c r="AD740" s="41">
        <v>1200</v>
      </c>
      <c r="AE740" s="1">
        <f t="shared" si="483"/>
        <v>0</v>
      </c>
      <c r="AF740" s="1">
        <f t="shared" si="484"/>
        <v>1200</v>
      </c>
    </row>
    <row r="741" spans="1:32" s="2" customFormat="1">
      <c r="A741" s="11">
        <v>92010</v>
      </c>
      <c r="B741" s="11">
        <v>23120</v>
      </c>
      <c r="C741" s="11" t="s">
        <v>285</v>
      </c>
      <c r="D741" s="7">
        <v>500</v>
      </c>
      <c r="E741" s="7"/>
      <c r="F741" s="7">
        <f t="shared" si="499"/>
        <v>500</v>
      </c>
      <c r="G741" s="7"/>
      <c r="H741" s="7">
        <f t="shared" si="500"/>
        <v>500</v>
      </c>
      <c r="I741" s="7"/>
      <c r="J741" s="7">
        <f t="shared" si="501"/>
        <v>500</v>
      </c>
      <c r="K741" s="7"/>
      <c r="L741" s="7">
        <v>500</v>
      </c>
      <c r="M741" s="7">
        <v>0</v>
      </c>
      <c r="N741" s="7">
        <f t="shared" si="489"/>
        <v>500</v>
      </c>
      <c r="O741" s="7"/>
      <c r="P741" s="1"/>
      <c r="Q741" s="1">
        <f t="shared" si="490"/>
        <v>500</v>
      </c>
      <c r="R741" s="1"/>
      <c r="S741" s="1"/>
      <c r="T741" s="1">
        <f t="shared" si="497"/>
        <v>500</v>
      </c>
      <c r="U741" s="1">
        <f>R741+T741</f>
        <v>500</v>
      </c>
      <c r="V741" s="1">
        <f t="shared" si="492"/>
        <v>0</v>
      </c>
      <c r="W741" s="1">
        <f t="shared" si="493"/>
        <v>500</v>
      </c>
      <c r="X741" s="1">
        <v>500</v>
      </c>
      <c r="Y741" s="41">
        <f t="shared" si="494"/>
        <v>0</v>
      </c>
      <c r="Z741" s="1">
        <f>W741+Y741</f>
        <v>500</v>
      </c>
      <c r="AA741" s="1">
        <v>500</v>
      </c>
      <c r="AB741" s="1">
        <f t="shared" si="502"/>
        <v>0</v>
      </c>
      <c r="AC741" s="1">
        <f t="shared" si="503"/>
        <v>500</v>
      </c>
      <c r="AD741" s="41">
        <v>500</v>
      </c>
      <c r="AE741" s="1">
        <f t="shared" si="483"/>
        <v>0</v>
      </c>
      <c r="AF741" s="1">
        <f t="shared" si="484"/>
        <v>500</v>
      </c>
    </row>
    <row r="742" spans="1:32" s="2" customFormat="1">
      <c r="A742" s="11">
        <v>92020</v>
      </c>
      <c r="B742" s="11">
        <v>23120</v>
      </c>
      <c r="C742" s="42" t="s">
        <v>927</v>
      </c>
      <c r="D742" s="7"/>
      <c r="E742" s="7"/>
      <c r="F742" s="7"/>
      <c r="G742" s="7"/>
      <c r="H742" s="7"/>
      <c r="I742" s="8"/>
      <c r="J742" s="7"/>
      <c r="K742" s="8"/>
      <c r="L742" s="7"/>
      <c r="M742" s="7"/>
      <c r="N742" s="7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41"/>
      <c r="Z742" s="1"/>
      <c r="AA742" s="1"/>
      <c r="AB742" s="1"/>
      <c r="AC742" s="1">
        <v>0</v>
      </c>
      <c r="AD742" s="41">
        <v>300</v>
      </c>
      <c r="AE742" s="1">
        <f t="shared" si="483"/>
        <v>300</v>
      </c>
      <c r="AF742" s="1">
        <f t="shared" si="484"/>
        <v>300</v>
      </c>
    </row>
    <row r="743" spans="1:32">
      <c r="A743" s="11">
        <v>92600</v>
      </c>
      <c r="B743" s="11">
        <v>23120</v>
      </c>
      <c r="C743" s="11" t="s">
        <v>295</v>
      </c>
      <c r="D743" s="7">
        <v>150.25</v>
      </c>
      <c r="E743" s="7"/>
      <c r="F743" s="7">
        <f>D743-E743</f>
        <v>150.25</v>
      </c>
      <c r="G743" s="7"/>
      <c r="H743" s="7">
        <f>D743+G743</f>
        <v>150.25</v>
      </c>
      <c r="I743" s="8"/>
      <c r="J743" s="7">
        <f>H743-I743</f>
        <v>150.25</v>
      </c>
      <c r="K743" s="8"/>
      <c r="L743" s="7">
        <v>150.25</v>
      </c>
      <c r="M743" s="7">
        <v>0</v>
      </c>
      <c r="N743" s="7">
        <f>L743+M743</f>
        <v>150.25</v>
      </c>
      <c r="O743" s="7"/>
      <c r="Q743" s="1">
        <f>N743+P743</f>
        <v>150.25</v>
      </c>
      <c r="T743" s="1">
        <f>Q743+S743</f>
        <v>150.25</v>
      </c>
      <c r="U743" s="1">
        <f>R743+T743</f>
        <v>150.25</v>
      </c>
      <c r="V743" s="1">
        <f>U743-T743</f>
        <v>0</v>
      </c>
      <c r="W743" s="1">
        <f>T743+V743</f>
        <v>150.25</v>
      </c>
      <c r="X743" s="1">
        <v>100</v>
      </c>
      <c r="Y743" s="41">
        <f>X743-W743</f>
        <v>-50.25</v>
      </c>
      <c r="Z743" s="1">
        <f>W743+Y743</f>
        <v>100</v>
      </c>
      <c r="AA743" s="1">
        <v>100</v>
      </c>
      <c r="AB743" s="1">
        <f>AA743-Z743</f>
        <v>0</v>
      </c>
      <c r="AC743" s="1">
        <f>Z743+AB743</f>
        <v>100</v>
      </c>
      <c r="AD743" s="41">
        <v>100</v>
      </c>
      <c r="AE743" s="1">
        <f t="shared" si="483"/>
        <v>0</v>
      </c>
      <c r="AF743" s="1">
        <f t="shared" si="484"/>
        <v>100</v>
      </c>
    </row>
    <row r="744" spans="1:32" s="2" customFormat="1">
      <c r="A744" s="11">
        <v>92900</v>
      </c>
      <c r="B744" s="11">
        <v>23120</v>
      </c>
      <c r="C744" s="11" t="s">
        <v>487</v>
      </c>
      <c r="D744" s="7">
        <v>728</v>
      </c>
      <c r="E744" s="7"/>
      <c r="F744" s="7">
        <f>D744-E744</f>
        <v>728</v>
      </c>
      <c r="G744" s="7"/>
      <c r="H744" s="7">
        <f>D744+G744</f>
        <v>728</v>
      </c>
      <c r="I744" s="1"/>
      <c r="J744" s="1">
        <f>H744-I744</f>
        <v>728</v>
      </c>
      <c r="K744" s="1"/>
      <c r="L744" s="1">
        <f>H744+K744</f>
        <v>728</v>
      </c>
      <c r="M744" s="7"/>
      <c r="N744" s="1">
        <f>L744+M744</f>
        <v>728</v>
      </c>
      <c r="O744" s="1"/>
      <c r="P744" s="1"/>
      <c r="Q744" s="1">
        <f>N744+P744</f>
        <v>728</v>
      </c>
      <c r="R744" s="1"/>
      <c r="S744" s="1"/>
      <c r="T744" s="1">
        <f>Q744+S744</f>
        <v>728</v>
      </c>
      <c r="U744" s="1">
        <f>R744+T744</f>
        <v>728</v>
      </c>
      <c r="V744" s="1">
        <f>U744-T744</f>
        <v>0</v>
      </c>
      <c r="W744" s="1">
        <f>T744+V744</f>
        <v>728</v>
      </c>
      <c r="X744" s="1">
        <v>500</v>
      </c>
      <c r="Y744" s="41">
        <f>X744-W744</f>
        <v>-228</v>
      </c>
      <c r="Z744" s="1">
        <f>W744+Y744</f>
        <v>500</v>
      </c>
      <c r="AA744" s="1">
        <v>500</v>
      </c>
      <c r="AB744" s="1">
        <f>AA744-Z744</f>
        <v>0</v>
      </c>
      <c r="AC744" s="1">
        <f>Z744+AB744</f>
        <v>500</v>
      </c>
      <c r="AD744" s="41">
        <v>500</v>
      </c>
      <c r="AE744" s="1">
        <f t="shared" si="483"/>
        <v>0</v>
      </c>
      <c r="AF744" s="1">
        <f t="shared" si="484"/>
        <v>500</v>
      </c>
    </row>
    <row r="745" spans="1:32" s="2" customFormat="1">
      <c r="A745" s="71"/>
      <c r="B745" s="71"/>
      <c r="C745" s="71" t="s">
        <v>869</v>
      </c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>
        <f>SUM(AC325:AC744)</f>
        <v>20885764.380000003</v>
      </c>
      <c r="AD745" s="72">
        <f t="shared" ref="AD745:AF745" si="505">SUM(AD325:AD744)</f>
        <v>20839468.990800001</v>
      </c>
      <c r="AE745" s="72">
        <f t="shared" si="505"/>
        <v>-46295.38919999986</v>
      </c>
      <c r="AF745" s="72">
        <f t="shared" si="505"/>
        <v>20839468.990800001</v>
      </c>
    </row>
    <row r="746" spans="1:32">
      <c r="A746" s="11">
        <v>1100</v>
      </c>
      <c r="B746" s="11">
        <v>31000</v>
      </c>
      <c r="C746" s="11" t="s">
        <v>224</v>
      </c>
      <c r="D746" s="7">
        <v>1062000</v>
      </c>
      <c r="E746" s="7"/>
      <c r="F746" s="7">
        <f>D746-E746</f>
        <v>1062000</v>
      </c>
      <c r="G746" s="7">
        <v>-22000</v>
      </c>
      <c r="H746" s="7">
        <f>D746+G746</f>
        <v>1040000</v>
      </c>
      <c r="I746" s="1"/>
      <c r="J746" s="1">
        <f>H746-I746</f>
        <v>1040000</v>
      </c>
      <c r="K746" s="1">
        <v>-250000</v>
      </c>
      <c r="L746" s="1">
        <f>H746+K746</f>
        <v>790000</v>
      </c>
      <c r="M746" s="7">
        <v>310000</v>
      </c>
      <c r="N746" s="1">
        <f>L746+M746</f>
        <v>1100000</v>
      </c>
      <c r="O746" s="1"/>
      <c r="P746" s="1">
        <f>1673000-N746</f>
        <v>573000</v>
      </c>
      <c r="Q746" s="1">
        <f>N746+P746</f>
        <v>1673000</v>
      </c>
      <c r="R746" s="1">
        <v>1600000</v>
      </c>
      <c r="S746" s="1">
        <v>-240000</v>
      </c>
      <c r="T746" s="1">
        <f>Q746+S746</f>
        <v>1433000</v>
      </c>
      <c r="U746" s="1">
        <v>980000</v>
      </c>
      <c r="V746" s="1">
        <f>U746-T746</f>
        <v>-453000</v>
      </c>
      <c r="W746" s="1">
        <f>T746+V746</f>
        <v>980000</v>
      </c>
      <c r="X746" s="1">
        <v>600000</v>
      </c>
      <c r="Y746" s="41">
        <f>X746-W746</f>
        <v>-380000</v>
      </c>
      <c r="Z746" s="1">
        <f>W746+Y746</f>
        <v>600000</v>
      </c>
      <c r="AA746" s="1">
        <v>415000</v>
      </c>
      <c r="AB746" s="1">
        <f>AA746-Z746</f>
        <v>-185000</v>
      </c>
      <c r="AC746" s="1">
        <f>Z746+AB746</f>
        <v>415000</v>
      </c>
      <c r="AD746" s="41">
        <v>350000</v>
      </c>
      <c r="AE746" s="1">
        <f>AD746-AC746</f>
        <v>-65000</v>
      </c>
      <c r="AF746" s="1">
        <f>AC746+AE746</f>
        <v>350000</v>
      </c>
    </row>
    <row r="747" spans="1:32" s="2" customFormat="1">
      <c r="A747" s="11">
        <v>1100</v>
      </c>
      <c r="B747" s="11">
        <v>31001</v>
      </c>
      <c r="C747" s="11" t="s">
        <v>225</v>
      </c>
      <c r="D747" s="7">
        <v>21000</v>
      </c>
      <c r="E747" s="7"/>
      <c r="F747" s="7">
        <f>D747-E747</f>
        <v>21000</v>
      </c>
      <c r="G747" s="7"/>
      <c r="H747" s="7">
        <f>D747+G747</f>
        <v>21000</v>
      </c>
      <c r="I747" s="1"/>
      <c r="J747" s="1">
        <f>H747-I747</f>
        <v>21000</v>
      </c>
      <c r="K747" s="1"/>
      <c r="L747" s="1">
        <f>H747+K747</f>
        <v>21000</v>
      </c>
      <c r="M747" s="7">
        <v>20000</v>
      </c>
      <c r="N747" s="1">
        <f>L747+M747</f>
        <v>41000</v>
      </c>
      <c r="O747" s="1"/>
      <c r="P747" s="1">
        <v>9000</v>
      </c>
      <c r="Q747" s="1">
        <f>N747+P747</f>
        <v>50000</v>
      </c>
      <c r="R747" s="1"/>
      <c r="S747" s="41">
        <v>0</v>
      </c>
      <c r="T747" s="1">
        <f>Q747+S747</f>
        <v>50000</v>
      </c>
      <c r="U747" s="1">
        <v>10000</v>
      </c>
      <c r="V747" s="1">
        <f>U747-T747</f>
        <v>-40000</v>
      </c>
      <c r="W747" s="1">
        <f>T747+V747</f>
        <v>10000</v>
      </c>
      <c r="X747" s="1">
        <v>10000</v>
      </c>
      <c r="Y747" s="41">
        <f>X747-W747</f>
        <v>0</v>
      </c>
      <c r="Z747" s="1">
        <f>W747+Y747</f>
        <v>10000</v>
      </c>
      <c r="AA747" s="1">
        <v>0</v>
      </c>
      <c r="AB747" s="1">
        <f>AA747-Z747</f>
        <v>-10000</v>
      </c>
      <c r="AC747" s="1">
        <f>Z747+AB747</f>
        <v>0</v>
      </c>
      <c r="AD747" s="41">
        <v>0</v>
      </c>
      <c r="AE747" s="1">
        <f>AD747-AC747</f>
        <v>0</v>
      </c>
      <c r="AF747" s="1">
        <f>AC747+AE747</f>
        <v>0</v>
      </c>
    </row>
    <row r="748" spans="1:32">
      <c r="A748" s="11">
        <v>93100</v>
      </c>
      <c r="B748" s="11">
        <v>35200</v>
      </c>
      <c r="C748" s="11" t="s">
        <v>503</v>
      </c>
      <c r="D748" s="7">
        <v>0</v>
      </c>
      <c r="E748" s="7"/>
      <c r="F748" s="7">
        <f>D748-E748</f>
        <v>0</v>
      </c>
      <c r="G748" s="7">
        <v>30000</v>
      </c>
      <c r="H748" s="7">
        <f>D748+G748</f>
        <v>30000</v>
      </c>
      <c r="I748" s="1"/>
      <c r="J748" s="1">
        <f>H748-I748</f>
        <v>30000</v>
      </c>
      <c r="K748" s="1">
        <v>40000</v>
      </c>
      <c r="L748" s="1">
        <f>H748+K748</f>
        <v>70000</v>
      </c>
      <c r="M748" s="7">
        <v>80000</v>
      </c>
      <c r="N748" s="1">
        <f>L748+M748</f>
        <v>150000</v>
      </c>
      <c r="O748" s="1"/>
      <c r="P748" s="1">
        <v>50000</v>
      </c>
      <c r="Q748" s="1">
        <f>N748+P748</f>
        <v>200000</v>
      </c>
      <c r="R748" s="1">
        <v>300000</v>
      </c>
      <c r="S748" s="1">
        <f>R748-Q748</f>
        <v>100000</v>
      </c>
      <c r="T748" s="1">
        <f>Q748+S748</f>
        <v>300000</v>
      </c>
      <c r="U748" s="1">
        <v>300000</v>
      </c>
      <c r="V748" s="1">
        <f>U748-T748</f>
        <v>0</v>
      </c>
      <c r="W748" s="1">
        <f>T748+V748</f>
        <v>300000</v>
      </c>
      <c r="X748" s="1">
        <v>400000</v>
      </c>
      <c r="Y748" s="41">
        <f>X748-W748</f>
        <v>100000</v>
      </c>
      <c r="Z748" s="1">
        <f>W748+Y748</f>
        <v>400000</v>
      </c>
      <c r="AA748" s="1">
        <v>2000000</v>
      </c>
      <c r="AB748" s="1">
        <f>AA748-Z748</f>
        <v>1600000</v>
      </c>
      <c r="AC748" s="1">
        <f>Z748+AB748</f>
        <v>2000000</v>
      </c>
      <c r="AD748" s="41">
        <v>460000</v>
      </c>
      <c r="AE748" s="1">
        <f>AD748-AC748</f>
        <v>-1540000</v>
      </c>
      <c r="AF748" s="1">
        <f>AC748+AE748</f>
        <v>460000</v>
      </c>
    </row>
    <row r="749" spans="1:32">
      <c r="A749" s="11">
        <v>93100</v>
      </c>
      <c r="B749" s="11">
        <v>35900</v>
      </c>
      <c r="C749" s="11" t="s">
        <v>504</v>
      </c>
      <c r="D749" s="7">
        <v>0</v>
      </c>
      <c r="E749" s="7">
        <v>100000</v>
      </c>
      <c r="F749" s="7">
        <f>D749-E749</f>
        <v>-100000</v>
      </c>
      <c r="G749" s="7">
        <v>100000</v>
      </c>
      <c r="H749" s="7">
        <f>D749+G749</f>
        <v>100000</v>
      </c>
      <c r="I749" s="3"/>
      <c r="J749" s="1">
        <f>H749-I749</f>
        <v>100000</v>
      </c>
      <c r="K749" s="16">
        <v>-30000</v>
      </c>
      <c r="L749" s="1">
        <f>H749+K749</f>
        <v>70000</v>
      </c>
      <c r="M749" s="7">
        <v>70000</v>
      </c>
      <c r="N749" s="1">
        <f>L749+M749</f>
        <v>140000</v>
      </c>
      <c r="O749" s="1"/>
      <c r="P749" s="1">
        <v>20000</v>
      </c>
      <c r="Q749" s="1">
        <f>N749+P749</f>
        <v>160000</v>
      </c>
      <c r="T749" s="1">
        <f>Q749+S749</f>
        <v>160000</v>
      </c>
      <c r="U749" s="1">
        <v>140000</v>
      </c>
      <c r="V749" s="1">
        <f>U749-T749</f>
        <v>-20000</v>
      </c>
      <c r="W749" s="1">
        <f>T749+V749</f>
        <v>140000</v>
      </c>
      <c r="X749" s="1">
        <v>40000</v>
      </c>
      <c r="Y749" s="41">
        <f>X749-W749</f>
        <v>-100000</v>
      </c>
      <c r="Z749" s="1">
        <f>W749+Y749</f>
        <v>40000</v>
      </c>
      <c r="AA749" s="1">
        <v>40000</v>
      </c>
      <c r="AB749" s="1">
        <f>AA749-Z749</f>
        <v>0</v>
      </c>
      <c r="AC749" s="1">
        <f>Z749+AB749</f>
        <v>40000</v>
      </c>
      <c r="AD749" s="41">
        <v>30000</v>
      </c>
      <c r="AE749" s="1">
        <f>AD749-AC749</f>
        <v>-10000</v>
      </c>
      <c r="AF749" s="1">
        <f>AC749+AE749</f>
        <v>30000</v>
      </c>
    </row>
    <row r="750" spans="1:32">
      <c r="A750" s="71"/>
      <c r="B750" s="71"/>
      <c r="C750" s="71" t="s">
        <v>870</v>
      </c>
      <c r="D750" s="7"/>
      <c r="E750" s="7"/>
      <c r="F750" s="7"/>
      <c r="G750" s="7"/>
      <c r="H750" s="7"/>
      <c r="I750" s="3"/>
      <c r="J750" s="1"/>
      <c r="K750" s="16"/>
      <c r="L750" s="1"/>
      <c r="N750" s="1"/>
      <c r="O750" s="1"/>
      <c r="T750" s="1"/>
      <c r="V750" s="1"/>
      <c r="W750" s="1"/>
      <c r="Y750" s="41"/>
      <c r="Z750" s="1"/>
      <c r="AB750" s="1"/>
      <c r="AC750" s="72">
        <f>SUM(AC746:AC749)</f>
        <v>2455000</v>
      </c>
      <c r="AD750" s="72">
        <f t="shared" ref="AD750:AF750" si="506">SUM(AD746:AD749)</f>
        <v>840000</v>
      </c>
      <c r="AE750" s="72">
        <f t="shared" si="506"/>
        <v>-1615000</v>
      </c>
      <c r="AF750" s="72">
        <f t="shared" si="506"/>
        <v>840000</v>
      </c>
    </row>
    <row r="751" spans="1:32">
      <c r="A751" s="13">
        <v>43200</v>
      </c>
      <c r="B751" s="11">
        <v>46100</v>
      </c>
      <c r="C751" s="11" t="s">
        <v>332</v>
      </c>
      <c r="D751" s="7">
        <v>8000</v>
      </c>
      <c r="E751" s="7">
        <v>8000</v>
      </c>
      <c r="F751" s="7">
        <f>D751-E751</f>
        <v>0</v>
      </c>
      <c r="G751" s="7">
        <v>0</v>
      </c>
      <c r="H751" s="7">
        <f>D751+G751</f>
        <v>8000</v>
      </c>
      <c r="I751" s="1"/>
      <c r="J751" s="1">
        <f>H751-I751</f>
        <v>8000</v>
      </c>
      <c r="K751" s="1"/>
      <c r="L751" s="1">
        <f>H751+K751</f>
        <v>8000</v>
      </c>
      <c r="M751" s="10">
        <v>-1000</v>
      </c>
      <c r="N751" s="1">
        <f>L751+M751</f>
        <v>7000</v>
      </c>
      <c r="O751" s="1"/>
      <c r="Q751" s="1">
        <f>N751+P751</f>
        <v>7000</v>
      </c>
      <c r="S751" s="1">
        <v>-7000</v>
      </c>
      <c r="T751" s="1">
        <f>Q751+S751</f>
        <v>0</v>
      </c>
      <c r="U751" s="1">
        <f>R751+T751</f>
        <v>0</v>
      </c>
      <c r="V751" s="1">
        <f>U751-T751</f>
        <v>0</v>
      </c>
      <c r="W751" s="1">
        <f>T751+V751</f>
        <v>0</v>
      </c>
      <c r="X751" s="1">
        <v>0</v>
      </c>
      <c r="Y751" s="41">
        <f>X751-W751</f>
        <v>0</v>
      </c>
      <c r="Z751" s="1">
        <f>W751+Y751</f>
        <v>0</v>
      </c>
      <c r="AA751" s="41">
        <v>0</v>
      </c>
      <c r="AB751" s="41">
        <f>AA751-Z751</f>
        <v>0</v>
      </c>
      <c r="AC751" s="1">
        <f>Z751+AB751</f>
        <v>0</v>
      </c>
      <c r="AD751" s="41">
        <v>0</v>
      </c>
      <c r="AE751" s="1">
        <f t="shared" ref="AE751:AE782" si="507">AD751-AC751</f>
        <v>0</v>
      </c>
      <c r="AF751" s="1">
        <f t="shared" ref="AF751:AF782" si="508">AC751+AE751</f>
        <v>0</v>
      </c>
    </row>
    <row r="752" spans="1:32" s="2" customFormat="1">
      <c r="A752" s="11">
        <v>33400</v>
      </c>
      <c r="B752" s="11">
        <v>46300</v>
      </c>
      <c r="C752" s="11" t="s">
        <v>432</v>
      </c>
      <c r="D752" s="7">
        <v>20500</v>
      </c>
      <c r="E752" s="7">
        <v>21136.799999999999</v>
      </c>
      <c r="F752" s="7">
        <f>D752-E752</f>
        <v>-636.79999999999927</v>
      </c>
      <c r="G752" s="7">
        <v>636.79999999999995</v>
      </c>
      <c r="H752" s="7">
        <f>D752+G752</f>
        <v>21136.799999999999</v>
      </c>
      <c r="I752" s="1"/>
      <c r="J752" s="1">
        <f>H752-I752</f>
        <v>21136.799999999999</v>
      </c>
      <c r="K752" s="1"/>
      <c r="L752" s="1">
        <f>H752+K752</f>
        <v>21136.799999999999</v>
      </c>
      <c r="M752" s="7">
        <f>11649.5-L752</f>
        <v>-9487.2999999999993</v>
      </c>
      <c r="N752" s="1">
        <f>L752+M752</f>
        <v>11649.5</v>
      </c>
      <c r="O752" s="1"/>
      <c r="P752" s="1"/>
      <c r="Q752" s="1">
        <f>N752+P752</f>
        <v>11649.5</v>
      </c>
      <c r="R752" s="1">
        <v>13083.54</v>
      </c>
      <c r="S752" s="1">
        <f>R752-Q752</f>
        <v>1434.0400000000009</v>
      </c>
      <c r="T752" s="1">
        <f>Q752+S752</f>
        <v>13083.54</v>
      </c>
      <c r="U752" s="1">
        <v>13083.54</v>
      </c>
      <c r="V752" s="1">
        <f>U752-T752</f>
        <v>0</v>
      </c>
      <c r="W752" s="1">
        <f>T752+V752</f>
        <v>13083.54</v>
      </c>
      <c r="X752" s="1">
        <v>13083.54</v>
      </c>
      <c r="Y752" s="41">
        <f>X752-W752</f>
        <v>0</v>
      </c>
      <c r="Z752" s="1">
        <f>W752+Y752</f>
        <v>13083.54</v>
      </c>
      <c r="AA752" s="1">
        <v>15525.63</v>
      </c>
      <c r="AB752" s="1">
        <f>AA752-Z752</f>
        <v>2442.0899999999983</v>
      </c>
      <c r="AC752" s="1">
        <f>Z752+AB752</f>
        <v>15525.63</v>
      </c>
      <c r="AD752" s="41">
        <v>19598.900000000001</v>
      </c>
      <c r="AE752" s="1">
        <f t="shared" si="507"/>
        <v>4073.2700000000023</v>
      </c>
      <c r="AF752" s="1">
        <f t="shared" si="508"/>
        <v>19598.900000000001</v>
      </c>
    </row>
    <row r="753" spans="1:32" s="9" customFormat="1">
      <c r="A753" s="11">
        <v>92010</v>
      </c>
      <c r="B753" s="11">
        <v>46300</v>
      </c>
      <c r="C753" s="11" t="s">
        <v>286</v>
      </c>
      <c r="D753" s="7">
        <v>1200</v>
      </c>
      <c r="E753" s="7">
        <v>1150</v>
      </c>
      <c r="F753" s="7">
        <f>D753-E753</f>
        <v>50</v>
      </c>
      <c r="G753" s="7">
        <v>-50</v>
      </c>
      <c r="H753" s="7">
        <f>D753+G753</f>
        <v>1150</v>
      </c>
      <c r="I753" s="7"/>
      <c r="J753" s="7">
        <f>H753-I753</f>
        <v>1150</v>
      </c>
      <c r="K753" s="7"/>
      <c r="L753" s="7">
        <v>1150</v>
      </c>
      <c r="M753" s="7">
        <v>0</v>
      </c>
      <c r="N753" s="7">
        <f>L753+M753</f>
        <v>1150</v>
      </c>
      <c r="O753" s="7"/>
      <c r="P753" s="7"/>
      <c r="Q753" s="7">
        <f>N753+P753</f>
        <v>1150</v>
      </c>
      <c r="R753" s="7">
        <v>1150</v>
      </c>
      <c r="S753" s="7">
        <f>R753-Q753</f>
        <v>0</v>
      </c>
      <c r="T753" s="7">
        <f>Q753+S753</f>
        <v>1150</v>
      </c>
      <c r="U753" s="7">
        <f>R753+T753</f>
        <v>2300</v>
      </c>
      <c r="V753" s="7">
        <f>U753-T753</f>
        <v>1150</v>
      </c>
      <c r="W753" s="7">
        <f>T753+V753</f>
        <v>2300</v>
      </c>
      <c r="X753" s="7">
        <v>2300</v>
      </c>
      <c r="Y753" s="47">
        <f>X753-W753</f>
        <v>0</v>
      </c>
      <c r="Z753" s="7">
        <f>W753+Y753</f>
        <v>2300</v>
      </c>
      <c r="AA753" s="7">
        <v>1150</v>
      </c>
      <c r="AB753" s="7">
        <f>AA753-Z753</f>
        <v>-1150</v>
      </c>
      <c r="AC753" s="7">
        <f>Z753+AB753</f>
        <v>1150</v>
      </c>
      <c r="AD753" s="47">
        <v>1150</v>
      </c>
      <c r="AE753" s="7">
        <f t="shared" si="507"/>
        <v>0</v>
      </c>
      <c r="AF753" s="7">
        <f t="shared" si="508"/>
        <v>1150</v>
      </c>
    </row>
    <row r="754" spans="1:32">
      <c r="A754" s="42">
        <v>17000</v>
      </c>
      <c r="B754" s="11">
        <v>46600</v>
      </c>
      <c r="C754" s="11" t="s">
        <v>913</v>
      </c>
      <c r="D754" s="7"/>
      <c r="E754" s="7"/>
      <c r="F754" s="7"/>
      <c r="G754" s="7"/>
      <c r="H754" s="7"/>
      <c r="I754" s="1"/>
      <c r="J754" s="1"/>
      <c r="K754" s="1"/>
      <c r="L754" s="1"/>
      <c r="N754" s="1"/>
      <c r="O754" s="1"/>
      <c r="T754" s="1"/>
      <c r="V754" s="1"/>
      <c r="W754" s="1"/>
      <c r="Y754" s="41"/>
      <c r="Z754" s="1"/>
      <c r="AB754" s="1"/>
      <c r="AC754" s="1">
        <v>0</v>
      </c>
      <c r="AD754" s="41">
        <f>0.35*(5252.22+297.73+26261.11+6000)</f>
        <v>13233.870999999999</v>
      </c>
      <c r="AE754" s="1">
        <f t="shared" si="507"/>
        <v>13233.870999999999</v>
      </c>
      <c r="AF754" s="1">
        <f t="shared" si="508"/>
        <v>13233.870999999999</v>
      </c>
    </row>
    <row r="755" spans="1:32">
      <c r="A755" s="11">
        <v>24100</v>
      </c>
      <c r="B755" s="11">
        <v>46700</v>
      </c>
      <c r="C755" s="11" t="s">
        <v>338</v>
      </c>
      <c r="D755" s="7">
        <v>403190</v>
      </c>
      <c r="E755" s="7">
        <f>325895+77787</f>
        <v>403682</v>
      </c>
      <c r="F755" s="7">
        <f>D755-E755</f>
        <v>-492</v>
      </c>
      <c r="G755" s="7">
        <v>492</v>
      </c>
      <c r="H755" s="7">
        <f>D755+G755</f>
        <v>403682</v>
      </c>
      <c r="I755" s="1">
        <f>80302+317291</f>
        <v>397593</v>
      </c>
      <c r="J755" s="1">
        <f>H755-I755</f>
        <v>6089</v>
      </c>
      <c r="K755" s="1">
        <v>-6089</v>
      </c>
      <c r="L755" s="1">
        <f>H755+K755</f>
        <v>397593</v>
      </c>
      <c r="M755" s="7">
        <f>304495+66446-L755</f>
        <v>-26652</v>
      </c>
      <c r="N755" s="1">
        <f>L755+M755</f>
        <v>370941</v>
      </c>
      <c r="O755" s="1"/>
      <c r="P755" s="1">
        <f>192550+53140-N755</f>
        <v>-125251</v>
      </c>
      <c r="Q755" s="1">
        <f>N755+P755</f>
        <v>245690</v>
      </c>
      <c r="R755" s="1">
        <f>245690+81000</f>
        <v>326690</v>
      </c>
      <c r="S755" s="1">
        <v>34296.730000000003</v>
      </c>
      <c r="T755" s="1">
        <f>Q755+S755</f>
        <v>279986.73</v>
      </c>
      <c r="U755" s="1">
        <f>267139.34+80000</f>
        <v>347139.34</v>
      </c>
      <c r="V755" s="1">
        <f>U755-T755</f>
        <v>67152.610000000044</v>
      </c>
      <c r="W755" s="1">
        <f>T755+V755</f>
        <v>347139.34</v>
      </c>
      <c r="X755" s="1">
        <f>267071+50000</f>
        <v>317071</v>
      </c>
      <c r="Y755" s="41">
        <f>X755-W755</f>
        <v>-30068.340000000026</v>
      </c>
      <c r="Z755" s="1">
        <f>W755+Y755</f>
        <v>317071</v>
      </c>
      <c r="AA755" s="1">
        <f>268838+50000</f>
        <v>318838</v>
      </c>
      <c r="AB755" s="1">
        <f t="shared" ref="AB755:AB768" si="509">AA755-Z755</f>
        <v>1767</v>
      </c>
      <c r="AC755" s="1">
        <f t="shared" ref="AC755:AC768" si="510">Z755+AB755</f>
        <v>318838</v>
      </c>
      <c r="AD755" s="41">
        <f>313022.48-11760-7692.13</f>
        <v>293570.34999999998</v>
      </c>
      <c r="AE755" s="1">
        <f t="shared" si="507"/>
        <v>-25267.650000000023</v>
      </c>
      <c r="AF755" s="1">
        <f t="shared" si="508"/>
        <v>293570.34999999998</v>
      </c>
    </row>
    <row r="756" spans="1:32">
      <c r="A756" s="11">
        <v>33400</v>
      </c>
      <c r="B756" s="11">
        <v>46700</v>
      </c>
      <c r="C756" s="39" t="s">
        <v>826</v>
      </c>
      <c r="D756" s="7"/>
      <c r="E756" s="7"/>
      <c r="F756" s="7"/>
      <c r="G756" s="7"/>
      <c r="H756" s="7"/>
      <c r="I756" s="1"/>
      <c r="J756" s="1"/>
      <c r="K756" s="1"/>
      <c r="L756" s="1"/>
      <c r="N756" s="1"/>
      <c r="O756" s="1"/>
      <c r="T756" s="1"/>
      <c r="V756" s="1"/>
      <c r="W756" s="1"/>
      <c r="Y756" s="41"/>
      <c r="Z756" s="1">
        <v>0</v>
      </c>
      <c r="AA756" s="1">
        <v>211484.05</v>
      </c>
      <c r="AB756" s="1">
        <f t="shared" si="509"/>
        <v>211484.05</v>
      </c>
      <c r="AC756" s="1">
        <f t="shared" si="510"/>
        <v>211484.05</v>
      </c>
      <c r="AD756" s="41">
        <v>213598.89</v>
      </c>
      <c r="AE756" s="1">
        <f t="shared" si="507"/>
        <v>2114.8400000000256</v>
      </c>
      <c r="AF756" s="1">
        <f t="shared" si="508"/>
        <v>213598.89</v>
      </c>
    </row>
    <row r="757" spans="1:32">
      <c r="A757" s="11">
        <v>92000</v>
      </c>
      <c r="B757" s="11">
        <v>46700</v>
      </c>
      <c r="C757" s="39" t="s">
        <v>741</v>
      </c>
      <c r="D757" s="7"/>
      <c r="E757" s="7"/>
      <c r="F757" s="7"/>
      <c r="G757" s="7"/>
      <c r="H757" s="7"/>
      <c r="I757" s="1"/>
      <c r="J757" s="1"/>
      <c r="K757" s="1"/>
      <c r="L757" s="1"/>
      <c r="N757" s="1"/>
      <c r="O757" s="1"/>
      <c r="T757" s="1">
        <v>0</v>
      </c>
      <c r="U757" s="1">
        <v>8821.99</v>
      </c>
      <c r="V757" s="1">
        <f>U757-T757</f>
        <v>8821.99</v>
      </c>
      <c r="W757" s="1">
        <f>T757+V757</f>
        <v>8821.99</v>
      </c>
      <c r="X757" s="1">
        <v>8821.99</v>
      </c>
      <c r="Y757" s="41">
        <f>X757-W757</f>
        <v>0</v>
      </c>
      <c r="Z757" s="1">
        <f>W757+Y757</f>
        <v>8821.99</v>
      </c>
      <c r="AA757" s="1">
        <v>12403.89</v>
      </c>
      <c r="AB757" s="1">
        <f t="shared" si="509"/>
        <v>3581.8999999999996</v>
      </c>
      <c r="AC757" s="1">
        <f t="shared" si="510"/>
        <v>12403.89</v>
      </c>
      <c r="AD757" s="41">
        <v>24807.78</v>
      </c>
      <c r="AE757" s="1">
        <f t="shared" si="507"/>
        <v>12403.89</v>
      </c>
      <c r="AF757" s="1">
        <f t="shared" si="508"/>
        <v>24807.78</v>
      </c>
    </row>
    <row r="758" spans="1:32" s="9" customFormat="1">
      <c r="A758" s="11">
        <v>13000</v>
      </c>
      <c r="B758" s="11">
        <v>46701</v>
      </c>
      <c r="C758" s="11" t="s">
        <v>419</v>
      </c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>
        <v>0</v>
      </c>
      <c r="O758" s="7"/>
      <c r="P758" s="7">
        <v>275268.40999999997</v>
      </c>
      <c r="Q758" s="7">
        <f>N758+P758</f>
        <v>275268.40999999997</v>
      </c>
      <c r="R758" s="7">
        <v>271190.53999999998</v>
      </c>
      <c r="S758" s="7">
        <f>R758-Q758</f>
        <v>-4077.8699999999953</v>
      </c>
      <c r="T758" s="7">
        <f>Q758+S758</f>
        <v>271190.53999999998</v>
      </c>
      <c r="U758" s="7">
        <v>266911.28000000003</v>
      </c>
      <c r="V758" s="7">
        <f>U758-T758</f>
        <v>-4279.2599999999511</v>
      </c>
      <c r="W758" s="7">
        <f>T758+V758</f>
        <v>266911.28000000003</v>
      </c>
      <c r="X758" s="7">
        <v>266911.28000000003</v>
      </c>
      <c r="Y758" s="47">
        <f>X758-W758</f>
        <v>0</v>
      </c>
      <c r="Z758" s="7">
        <f>W758+Y758</f>
        <v>266911.28000000003</v>
      </c>
      <c r="AA758" s="7">
        <v>293426.94</v>
      </c>
      <c r="AB758" s="7">
        <f t="shared" si="509"/>
        <v>26515.659999999974</v>
      </c>
      <c r="AC758" s="7">
        <f t="shared" si="510"/>
        <v>293426.94</v>
      </c>
      <c r="AD758" s="47">
        <v>313311.05</v>
      </c>
      <c r="AE758" s="7">
        <f t="shared" si="507"/>
        <v>19884.109999999986</v>
      </c>
      <c r="AF758" s="7">
        <f t="shared" si="508"/>
        <v>313311.05</v>
      </c>
    </row>
    <row r="759" spans="1:32" s="9" customFormat="1">
      <c r="A759" s="11">
        <v>16210</v>
      </c>
      <c r="B759" s="11">
        <v>46701</v>
      </c>
      <c r="C759" s="42" t="s">
        <v>407</v>
      </c>
      <c r="D759" s="7">
        <v>16120</v>
      </c>
      <c r="E759" s="7"/>
      <c r="F759" s="7">
        <f>D759-E759</f>
        <v>16120</v>
      </c>
      <c r="G759" s="7"/>
      <c r="H759" s="7">
        <f>D759+G759</f>
        <v>16120</v>
      </c>
      <c r="I759" s="7"/>
      <c r="J759" s="7">
        <f>H759-I759</f>
        <v>16120</v>
      </c>
      <c r="K759" s="7"/>
      <c r="L759" s="7">
        <f>H759+K759</f>
        <v>16120</v>
      </c>
      <c r="M759" s="7">
        <f>19348.46-L759</f>
        <v>3228.4599999999991</v>
      </c>
      <c r="N759" s="7">
        <f>L759+M759</f>
        <v>19348.46</v>
      </c>
      <c r="O759" s="7"/>
      <c r="P759" s="7"/>
      <c r="Q759" s="7">
        <f>N759+P759</f>
        <v>19348.46</v>
      </c>
      <c r="R759" s="7">
        <v>19328.849999999999</v>
      </c>
      <c r="S759" s="7">
        <v>50.6</v>
      </c>
      <c r="T759" s="7">
        <f>Q759+S759</f>
        <v>19399.059999999998</v>
      </c>
      <c r="U759" s="7">
        <v>22245.86</v>
      </c>
      <c r="V759" s="7">
        <f>U759-T759</f>
        <v>2846.8000000000029</v>
      </c>
      <c r="W759" s="7">
        <f>T759+V759</f>
        <v>22245.86</v>
      </c>
      <c r="X759" s="7">
        <v>22245.86</v>
      </c>
      <c r="Y759" s="47">
        <f>X759-W759</f>
        <v>0</v>
      </c>
      <c r="Z759" s="7">
        <f>W759+Y760</f>
        <v>22245.86</v>
      </c>
      <c r="AA759" s="7">
        <v>26398.5</v>
      </c>
      <c r="AB759" s="7">
        <f t="shared" si="509"/>
        <v>4152.6399999999994</v>
      </c>
      <c r="AC759" s="7">
        <f t="shared" si="510"/>
        <v>26398.5</v>
      </c>
      <c r="AD759" s="47">
        <f>26738.45+798882.27</f>
        <v>825620.72</v>
      </c>
      <c r="AE759" s="7">
        <f t="shared" si="507"/>
        <v>799222.22</v>
      </c>
      <c r="AF759" s="7">
        <f t="shared" si="508"/>
        <v>825620.72</v>
      </c>
    </row>
    <row r="760" spans="1:32" s="2" customFormat="1">
      <c r="A760" s="11">
        <v>34000</v>
      </c>
      <c r="B760" s="11">
        <v>46701</v>
      </c>
      <c r="C760" s="11" t="s">
        <v>453</v>
      </c>
      <c r="D760" s="7">
        <v>7500</v>
      </c>
      <c r="E760" s="7"/>
      <c r="F760" s="7">
        <f>D760-E760</f>
        <v>7500</v>
      </c>
      <c r="G760" s="7"/>
      <c r="H760" s="7">
        <f>D760+G760</f>
        <v>7500</v>
      </c>
      <c r="I760" s="1"/>
      <c r="J760" s="1">
        <f>H760-I760</f>
        <v>7500</v>
      </c>
      <c r="K760" s="1"/>
      <c r="L760" s="1">
        <f>H760+K760</f>
        <v>7500</v>
      </c>
      <c r="M760" s="7">
        <v>0</v>
      </c>
      <c r="N760" s="1">
        <f>L760+M760</f>
        <v>7500</v>
      </c>
      <c r="O760" s="1"/>
      <c r="P760" s="1">
        <v>-3500</v>
      </c>
      <c r="Q760" s="1">
        <f>N760+P760</f>
        <v>4000</v>
      </c>
      <c r="R760" s="1"/>
      <c r="S760" s="1"/>
      <c r="T760" s="1">
        <f>Q760+S760</f>
        <v>4000</v>
      </c>
      <c r="U760" s="1">
        <f>R760+T760</f>
        <v>4000</v>
      </c>
      <c r="V760" s="1">
        <f>U760-T760</f>
        <v>0</v>
      </c>
      <c r="W760" s="1">
        <f>T760+V760</f>
        <v>4000</v>
      </c>
      <c r="X760" s="1">
        <v>4000</v>
      </c>
      <c r="Y760" s="41">
        <f>X760-W760</f>
        <v>0</v>
      </c>
      <c r="Z760" s="1">
        <f>W760+Y760</f>
        <v>4000</v>
      </c>
      <c r="AA760" s="1">
        <v>4500</v>
      </c>
      <c r="AB760" s="1">
        <f t="shared" si="509"/>
        <v>500</v>
      </c>
      <c r="AC760" s="1">
        <f t="shared" si="510"/>
        <v>4500</v>
      </c>
      <c r="AD760" s="41">
        <v>5000</v>
      </c>
      <c r="AE760" s="1">
        <f t="shared" si="507"/>
        <v>500</v>
      </c>
      <c r="AF760" s="1">
        <f t="shared" si="508"/>
        <v>5000</v>
      </c>
    </row>
    <row r="761" spans="1:32">
      <c r="A761" s="11">
        <v>92000</v>
      </c>
      <c r="B761" s="11">
        <v>46701</v>
      </c>
      <c r="C761" s="39" t="s">
        <v>888</v>
      </c>
      <c r="D761" s="7"/>
      <c r="E761" s="7"/>
      <c r="F761" s="7"/>
      <c r="G761" s="7"/>
      <c r="H761" s="7"/>
      <c r="I761" s="1"/>
      <c r="J761" s="1"/>
      <c r="K761" s="1"/>
      <c r="L761" s="1"/>
      <c r="N761" s="1"/>
      <c r="O761" s="1"/>
      <c r="T761" s="1"/>
      <c r="V761" s="1"/>
      <c r="W761" s="1"/>
      <c r="Y761" s="41"/>
      <c r="Z761" s="1">
        <v>0</v>
      </c>
      <c r="AA761" s="1">
        <v>515</v>
      </c>
      <c r="AB761" s="1">
        <f t="shared" si="509"/>
        <v>515</v>
      </c>
      <c r="AC761" s="1">
        <f t="shared" si="510"/>
        <v>515</v>
      </c>
      <c r="AD761" s="41">
        <v>515</v>
      </c>
      <c r="AE761" s="1">
        <f t="shared" si="507"/>
        <v>0</v>
      </c>
      <c r="AF761" s="1">
        <f t="shared" si="508"/>
        <v>515</v>
      </c>
    </row>
    <row r="762" spans="1:32" s="2" customFormat="1">
      <c r="A762" s="11">
        <v>92000</v>
      </c>
      <c r="B762" s="11">
        <v>46800</v>
      </c>
      <c r="C762" s="11" t="s">
        <v>260</v>
      </c>
      <c r="D762" s="7">
        <v>481569.2</v>
      </c>
      <c r="E762" s="7">
        <v>475927.36</v>
      </c>
      <c r="F762" s="7">
        <f>D762-E762</f>
        <v>5641.8400000000256</v>
      </c>
      <c r="G762" s="7">
        <v>-5641.84</v>
      </c>
      <c r="H762" s="7">
        <f>D762+G762</f>
        <v>475927.36</v>
      </c>
      <c r="I762" s="1">
        <v>454068.51</v>
      </c>
      <c r="J762" s="1">
        <f>H762-I762</f>
        <v>21858.849999999977</v>
      </c>
      <c r="K762" s="1">
        <v>-21858.85</v>
      </c>
      <c r="L762" s="1">
        <f>H762+K762</f>
        <v>454068.51</v>
      </c>
      <c r="M762" s="7">
        <v>25155.64</v>
      </c>
      <c r="N762" s="1">
        <f>L762+M762</f>
        <v>479224.15</v>
      </c>
      <c r="O762" s="1"/>
      <c r="P762" s="1">
        <f>518681.76-N762</f>
        <v>39457.609999999986</v>
      </c>
      <c r="Q762" s="1">
        <f>N762+P762</f>
        <v>518681.76</v>
      </c>
      <c r="R762" s="1">
        <v>565616</v>
      </c>
      <c r="S762" s="1">
        <f>R762-Q762</f>
        <v>46934.239999999991</v>
      </c>
      <c r="T762" s="1">
        <f>Q762+S762</f>
        <v>565616</v>
      </c>
      <c r="U762" s="54">
        <v>565616</v>
      </c>
      <c r="V762" s="1">
        <f>U762-T762</f>
        <v>0</v>
      </c>
      <c r="W762" s="1">
        <f>T762+V762</f>
        <v>565616</v>
      </c>
      <c r="X762" s="1">
        <v>565616</v>
      </c>
      <c r="Y762" s="41">
        <f>X762-W762</f>
        <v>0</v>
      </c>
      <c r="Z762" s="1">
        <f>W762+Y762</f>
        <v>565616</v>
      </c>
      <c r="AA762" s="1">
        <v>652094.06000000006</v>
      </c>
      <c r="AB762" s="1">
        <f t="shared" si="509"/>
        <v>86478.060000000056</v>
      </c>
      <c r="AC762" s="1">
        <f t="shared" si="510"/>
        <v>652094.06000000006</v>
      </c>
      <c r="AD762" s="41">
        <v>686456.3</v>
      </c>
      <c r="AE762" s="1">
        <f t="shared" si="507"/>
        <v>34362.239999999991</v>
      </c>
      <c r="AF762" s="1">
        <f t="shared" si="508"/>
        <v>686456.3</v>
      </c>
    </row>
    <row r="763" spans="1:32">
      <c r="A763" s="11">
        <v>92000</v>
      </c>
      <c r="B763" s="11">
        <v>46801</v>
      </c>
      <c r="C763" s="11" t="s">
        <v>261</v>
      </c>
      <c r="D763" s="7">
        <v>290770.38</v>
      </c>
      <c r="E763" s="7">
        <v>327736.33</v>
      </c>
      <c r="F763" s="7">
        <f>D763-E763</f>
        <v>-36965.950000000012</v>
      </c>
      <c r="G763" s="7">
        <v>36965.949999999997</v>
      </c>
      <c r="H763" s="7">
        <f>D763+G763</f>
        <v>327736.33</v>
      </c>
      <c r="I763" s="1">
        <v>326801.24</v>
      </c>
      <c r="J763" s="1">
        <f>H763-I763</f>
        <v>935.09000000002561</v>
      </c>
      <c r="K763" s="1">
        <v>-935.09</v>
      </c>
      <c r="L763" s="1">
        <f>H763+K763</f>
        <v>326801.24</v>
      </c>
      <c r="M763" s="7">
        <v>7917.87</v>
      </c>
      <c r="N763" s="1">
        <f>L763+M763</f>
        <v>334719.11</v>
      </c>
      <c r="O763" s="1"/>
      <c r="P763" s="1">
        <f>404054.03-N763</f>
        <v>69334.920000000042</v>
      </c>
      <c r="Q763" s="1">
        <f>N763+P763</f>
        <v>404054.03</v>
      </c>
      <c r="R763" s="1">
        <v>390766.19</v>
      </c>
      <c r="S763" s="1">
        <f>R763-Q763</f>
        <v>-13287.840000000026</v>
      </c>
      <c r="T763" s="1">
        <f>Q763+S763</f>
        <v>390766.19</v>
      </c>
      <c r="U763" s="54">
        <v>395306.85</v>
      </c>
      <c r="V763" s="1">
        <f>U763-T763</f>
        <v>4540.6599999999744</v>
      </c>
      <c r="W763" s="1">
        <f>T763+V763</f>
        <v>395306.85</v>
      </c>
      <c r="X763" s="1">
        <v>395306.85</v>
      </c>
      <c r="Y763" s="41">
        <f>X763-W763</f>
        <v>0</v>
      </c>
      <c r="Z763" s="1">
        <f>W763+Y763</f>
        <v>395306.85</v>
      </c>
      <c r="AA763" s="1">
        <v>392642.77</v>
      </c>
      <c r="AB763" s="1">
        <f t="shared" si="509"/>
        <v>-2664.0799999999581</v>
      </c>
      <c r="AC763" s="1">
        <f t="shared" si="510"/>
        <v>392642.77</v>
      </c>
      <c r="AD763" s="41">
        <v>404106</v>
      </c>
      <c r="AE763" s="1">
        <f t="shared" si="507"/>
        <v>11463.229999999981</v>
      </c>
      <c r="AF763" s="1">
        <f t="shared" si="508"/>
        <v>404106</v>
      </c>
    </row>
    <row r="764" spans="1:32" s="2" customFormat="1">
      <c r="A764" s="13">
        <v>23110</v>
      </c>
      <c r="B764" s="11">
        <v>48000</v>
      </c>
      <c r="C764" s="11" t="s">
        <v>333</v>
      </c>
      <c r="D764" s="8"/>
      <c r="E764" s="8"/>
      <c r="F764" s="8"/>
      <c r="G764" s="8"/>
      <c r="H764" s="8"/>
      <c r="I764" s="8"/>
      <c r="J764" s="8"/>
      <c r="K764" s="8"/>
      <c r="L764" s="10">
        <v>170000</v>
      </c>
      <c r="M764" s="10">
        <v>0</v>
      </c>
      <c r="N764" s="7">
        <f>L764+M764</f>
        <v>170000</v>
      </c>
      <c r="O764" s="7"/>
      <c r="P764" s="3"/>
      <c r="Q764" s="1">
        <f>N764+P764</f>
        <v>170000</v>
      </c>
      <c r="R764" s="3"/>
      <c r="S764" s="3"/>
      <c r="T764" s="1">
        <f>Q764+S764</f>
        <v>170000</v>
      </c>
      <c r="U764" s="1">
        <f>R764+T764</f>
        <v>170000</v>
      </c>
      <c r="V764" s="1">
        <f>U764-T764</f>
        <v>0</v>
      </c>
      <c r="W764" s="1">
        <f>T764+V764</f>
        <v>170000</v>
      </c>
      <c r="X764" s="41">
        <v>200000</v>
      </c>
      <c r="Y764" s="41">
        <f>X764-W764</f>
        <v>30000</v>
      </c>
      <c r="Z764" s="1">
        <f>W764+Y764</f>
        <v>200000</v>
      </c>
      <c r="AA764" s="41">
        <v>200000</v>
      </c>
      <c r="AB764" s="41">
        <f t="shared" si="509"/>
        <v>0</v>
      </c>
      <c r="AC764" s="1">
        <f t="shared" si="510"/>
        <v>200000</v>
      </c>
      <c r="AD764" s="41">
        <v>230000</v>
      </c>
      <c r="AE764" s="1">
        <f t="shared" si="507"/>
        <v>30000</v>
      </c>
      <c r="AF764" s="1">
        <f t="shared" si="508"/>
        <v>230000</v>
      </c>
    </row>
    <row r="765" spans="1:32">
      <c r="A765" s="11">
        <v>91200</v>
      </c>
      <c r="B765" s="11">
        <v>48000</v>
      </c>
      <c r="C765" s="11" t="s">
        <v>234</v>
      </c>
      <c r="D765" s="7">
        <v>5000</v>
      </c>
      <c r="E765" s="7"/>
      <c r="F765" s="7">
        <f>D765-E765</f>
        <v>5000</v>
      </c>
      <c r="G765" s="7"/>
      <c r="H765" s="7">
        <f>D765+G765</f>
        <v>5000</v>
      </c>
      <c r="I765" s="1"/>
      <c r="J765" s="1">
        <f>H765-I765</f>
        <v>5000</v>
      </c>
      <c r="K765" s="1"/>
      <c r="L765" s="1">
        <f>H765+K765</f>
        <v>5000</v>
      </c>
      <c r="N765" s="1">
        <f>L765+M765</f>
        <v>5000</v>
      </c>
      <c r="O765" s="1"/>
      <c r="Q765" s="1">
        <f>N765+P765</f>
        <v>5000</v>
      </c>
      <c r="T765" s="1">
        <f>Q765+S765</f>
        <v>5000</v>
      </c>
      <c r="U765" s="1">
        <f>R765+T765</f>
        <v>5000</v>
      </c>
      <c r="V765" s="1">
        <f>U765-T765</f>
        <v>0</v>
      </c>
      <c r="W765" s="1">
        <f>T765+V765</f>
        <v>5000</v>
      </c>
      <c r="X765" s="1">
        <v>5000</v>
      </c>
      <c r="Y765" s="41">
        <f>X765-W765</f>
        <v>0</v>
      </c>
      <c r="Z765" s="1">
        <f>W765+Y765</f>
        <v>5000</v>
      </c>
      <c r="AA765" s="41">
        <v>5000</v>
      </c>
      <c r="AB765" s="1">
        <f t="shared" si="509"/>
        <v>0</v>
      </c>
      <c r="AC765" s="1">
        <f t="shared" si="510"/>
        <v>5000</v>
      </c>
      <c r="AD765" s="41">
        <v>10000</v>
      </c>
      <c r="AE765" s="1">
        <f t="shared" si="507"/>
        <v>5000</v>
      </c>
      <c r="AF765" s="1">
        <f t="shared" si="508"/>
        <v>10000</v>
      </c>
    </row>
    <row r="766" spans="1:32" s="2" customFormat="1">
      <c r="A766" s="13">
        <v>23110</v>
      </c>
      <c r="B766" s="11">
        <v>48100</v>
      </c>
      <c r="C766" s="11" t="s">
        <v>637</v>
      </c>
      <c r="D766" s="8"/>
      <c r="E766" s="8"/>
      <c r="F766" s="8"/>
      <c r="G766" s="8"/>
      <c r="H766" s="8"/>
      <c r="I766" s="8"/>
      <c r="J766" s="8"/>
      <c r="K766" s="8"/>
      <c r="L766" s="10">
        <v>110000</v>
      </c>
      <c r="M766" s="10">
        <v>10000</v>
      </c>
      <c r="N766" s="7">
        <f>L766+M766</f>
        <v>120000</v>
      </c>
      <c r="O766" s="7"/>
      <c r="P766" s="3"/>
      <c r="Q766" s="1">
        <f>N766+P766</f>
        <v>120000</v>
      </c>
      <c r="R766" s="3"/>
      <c r="S766" s="3"/>
      <c r="T766" s="1">
        <f>Q766+S766</f>
        <v>120000</v>
      </c>
      <c r="U766" s="41">
        <v>140000</v>
      </c>
      <c r="V766" s="1">
        <f>U766-T766</f>
        <v>20000</v>
      </c>
      <c r="W766" s="1">
        <f>T766+V766</f>
        <v>140000</v>
      </c>
      <c r="X766" s="41">
        <v>130000</v>
      </c>
      <c r="Y766" s="41">
        <f>X766-W766</f>
        <v>-10000</v>
      </c>
      <c r="Z766" s="1">
        <f>W766+Y766</f>
        <v>130000</v>
      </c>
      <c r="AA766" s="41">
        <v>100000</v>
      </c>
      <c r="AB766" s="41">
        <f t="shared" si="509"/>
        <v>-30000</v>
      </c>
      <c r="AC766" s="1">
        <f t="shared" si="510"/>
        <v>100000</v>
      </c>
      <c r="AD766" s="41">
        <v>100000</v>
      </c>
      <c r="AE766" s="1">
        <f t="shared" si="507"/>
        <v>0</v>
      </c>
      <c r="AF766" s="1">
        <f t="shared" si="508"/>
        <v>100000</v>
      </c>
    </row>
    <row r="767" spans="1:32">
      <c r="A767" s="42">
        <v>23111</v>
      </c>
      <c r="B767" s="11">
        <v>48100</v>
      </c>
      <c r="C767" s="39" t="s">
        <v>830</v>
      </c>
      <c r="D767" s="7"/>
      <c r="E767" s="7"/>
      <c r="F767" s="7"/>
      <c r="G767" s="7"/>
      <c r="H767" s="7"/>
      <c r="I767" s="7"/>
      <c r="J767" s="7"/>
      <c r="K767" s="7"/>
      <c r="L767" s="7"/>
      <c r="M767" s="10"/>
      <c r="N767" s="7"/>
      <c r="O767" s="7"/>
      <c r="T767" s="1"/>
      <c r="V767" s="1"/>
      <c r="W767" s="1"/>
      <c r="Y767" s="41"/>
      <c r="Z767" s="1">
        <v>0</v>
      </c>
      <c r="AA767" s="1">
        <f>56940+2664.08</f>
        <v>59604.08</v>
      </c>
      <c r="AB767" s="41">
        <f t="shared" si="509"/>
        <v>59604.08</v>
      </c>
      <c r="AC767" s="1">
        <f t="shared" si="510"/>
        <v>59604.08</v>
      </c>
      <c r="AD767" s="41">
        <v>56940</v>
      </c>
      <c r="AE767" s="1">
        <f t="shared" si="507"/>
        <v>-2664.0800000000017</v>
      </c>
      <c r="AF767" s="1">
        <f t="shared" si="508"/>
        <v>56940</v>
      </c>
    </row>
    <row r="768" spans="1:32">
      <c r="A768" s="11">
        <v>23112</v>
      </c>
      <c r="B768" s="11">
        <v>48100</v>
      </c>
      <c r="C768" s="39" t="s">
        <v>833</v>
      </c>
      <c r="D768" s="7"/>
      <c r="E768" s="7"/>
      <c r="F768" s="7"/>
      <c r="G768" s="7"/>
      <c r="H768" s="7"/>
      <c r="I768" s="1"/>
      <c r="J768" s="1"/>
      <c r="K768" s="1"/>
      <c r="L768" s="1"/>
      <c r="M768" s="10"/>
      <c r="N768" s="1"/>
      <c r="O768" s="1"/>
      <c r="P768" s="3"/>
      <c r="R768" s="3"/>
      <c r="S768" s="41"/>
      <c r="T768" s="1"/>
      <c r="V768" s="1"/>
      <c r="W768" s="1"/>
      <c r="X768" s="41"/>
      <c r="Y768" s="41"/>
      <c r="Z768" s="1">
        <v>0</v>
      </c>
      <c r="AA768" s="41">
        <v>1000</v>
      </c>
      <c r="AB768" s="1">
        <f t="shared" si="509"/>
        <v>1000</v>
      </c>
      <c r="AC768" s="1">
        <f t="shared" si="510"/>
        <v>1000</v>
      </c>
      <c r="AD768" s="41">
        <v>500</v>
      </c>
      <c r="AE768" s="1">
        <f t="shared" si="507"/>
        <v>-500</v>
      </c>
      <c r="AF768" s="1">
        <f t="shared" si="508"/>
        <v>500</v>
      </c>
    </row>
    <row r="769" spans="1:32" s="2" customFormat="1">
      <c r="A769" s="11">
        <v>33220</v>
      </c>
      <c r="B769" s="11">
        <v>48100</v>
      </c>
      <c r="C769" s="11" t="s">
        <v>938</v>
      </c>
      <c r="D769" s="7"/>
      <c r="E769" s="7"/>
      <c r="F769" s="7"/>
      <c r="G769" s="7"/>
      <c r="H769" s="7"/>
      <c r="I769" s="1"/>
      <c r="J769" s="1"/>
      <c r="K769" s="1"/>
      <c r="L769" s="1"/>
      <c r="M769" s="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41"/>
      <c r="Z769" s="1"/>
      <c r="AA769" s="1"/>
      <c r="AB769" s="41"/>
      <c r="AC769" s="1">
        <v>0</v>
      </c>
      <c r="AD769" s="41">
        <v>3000</v>
      </c>
      <c r="AE769" s="1">
        <f t="shared" si="507"/>
        <v>3000</v>
      </c>
      <c r="AF769" s="1">
        <f t="shared" si="508"/>
        <v>3000</v>
      </c>
    </row>
    <row r="770" spans="1:32">
      <c r="A770" s="11">
        <v>33400</v>
      </c>
      <c r="B770" s="11">
        <v>48100</v>
      </c>
      <c r="C770" s="11" t="s">
        <v>433</v>
      </c>
      <c r="D770" s="7">
        <v>7400</v>
      </c>
      <c r="E770" s="7"/>
      <c r="F770" s="7">
        <f>D770-E770</f>
        <v>7400</v>
      </c>
      <c r="G770" s="7"/>
      <c r="H770" s="7">
        <f>D770+G770</f>
        <v>7400</v>
      </c>
      <c r="I770" s="1"/>
      <c r="J770" s="1">
        <f>H770-I770</f>
        <v>7400</v>
      </c>
      <c r="K770" s="1"/>
      <c r="L770" s="1">
        <f>H770+K770</f>
        <v>7400</v>
      </c>
      <c r="M770" s="7">
        <v>-3200</v>
      </c>
      <c r="N770" s="1">
        <f>L770+M770</f>
        <v>4200</v>
      </c>
      <c r="O770" s="1"/>
      <c r="Q770" s="1">
        <f>N770+P770</f>
        <v>4200</v>
      </c>
      <c r="T770" s="1">
        <f>Q770+S770</f>
        <v>4200</v>
      </c>
      <c r="U770" s="1">
        <f>R770+T770</f>
        <v>4200</v>
      </c>
      <c r="V770" s="1">
        <f>U770-T770</f>
        <v>0</v>
      </c>
      <c r="W770" s="1">
        <f>T770+V770</f>
        <v>4200</v>
      </c>
      <c r="X770" s="1">
        <v>5300</v>
      </c>
      <c r="Y770" s="41">
        <f>X770-W770</f>
        <v>1100</v>
      </c>
      <c r="Z770" s="1">
        <f>W770+Y770</f>
        <v>5300</v>
      </c>
      <c r="AA770" s="1">
        <v>7100</v>
      </c>
      <c r="AB770" s="1">
        <f t="shared" ref="AB770:AB790" si="511">AA770-Z770</f>
        <v>1800</v>
      </c>
      <c r="AC770" s="1">
        <f t="shared" ref="AC770:AC790" si="512">Z770+AB770</f>
        <v>7100</v>
      </c>
      <c r="AD770" s="41">
        <v>7100</v>
      </c>
      <c r="AE770" s="1">
        <f t="shared" si="507"/>
        <v>0</v>
      </c>
      <c r="AF770" s="1">
        <f t="shared" si="508"/>
        <v>7100</v>
      </c>
    </row>
    <row r="771" spans="1:32">
      <c r="A771" s="11">
        <v>33700</v>
      </c>
      <c r="B771" s="11">
        <v>48100</v>
      </c>
      <c r="C771" s="39" t="s">
        <v>834</v>
      </c>
      <c r="D771" s="7"/>
      <c r="E771" s="7"/>
      <c r="F771" s="7"/>
      <c r="G771" s="7"/>
      <c r="H771" s="7"/>
      <c r="I771" s="1"/>
      <c r="J771" s="1"/>
      <c r="K771" s="1"/>
      <c r="L771" s="1"/>
      <c r="M771" s="8"/>
      <c r="N771" s="1"/>
      <c r="O771" s="1"/>
      <c r="T771" s="1"/>
      <c r="V771" s="1"/>
      <c r="W771" s="1"/>
      <c r="Y771" s="41"/>
      <c r="Z771" s="1">
        <v>0</v>
      </c>
      <c r="AA771" s="1">
        <f>3100-515</f>
        <v>2585</v>
      </c>
      <c r="AB771" s="1">
        <f t="shared" si="511"/>
        <v>2585</v>
      </c>
      <c r="AC771" s="1">
        <f t="shared" si="512"/>
        <v>2585</v>
      </c>
      <c r="AD771" s="41">
        <v>4900</v>
      </c>
      <c r="AE771" s="1">
        <f t="shared" si="507"/>
        <v>2315</v>
      </c>
      <c r="AF771" s="1">
        <f t="shared" si="508"/>
        <v>4900</v>
      </c>
    </row>
    <row r="772" spans="1:32">
      <c r="A772" s="11">
        <v>34000</v>
      </c>
      <c r="B772" s="11">
        <v>48100</v>
      </c>
      <c r="C772" s="11" t="s">
        <v>454</v>
      </c>
      <c r="D772" s="7">
        <v>6020</v>
      </c>
      <c r="E772" s="7"/>
      <c r="F772" s="7">
        <f>D772-E772</f>
        <v>6020</v>
      </c>
      <c r="G772" s="7">
        <v>-5020</v>
      </c>
      <c r="H772" s="7">
        <f>D772+G772</f>
        <v>1000</v>
      </c>
      <c r="I772" s="1"/>
      <c r="J772" s="1">
        <f>H772-I772</f>
        <v>1000</v>
      </c>
      <c r="K772" s="1"/>
      <c r="L772" s="1">
        <f>H772+K772</f>
        <v>1000</v>
      </c>
      <c r="N772" s="1">
        <f>L772+M772</f>
        <v>1000</v>
      </c>
      <c r="O772" s="1"/>
      <c r="P772" s="1">
        <v>2000</v>
      </c>
      <c r="Q772" s="1">
        <f>N772+P772</f>
        <v>3000</v>
      </c>
      <c r="T772" s="1">
        <f>Q772+S772</f>
        <v>3000</v>
      </c>
      <c r="U772" s="1">
        <f>R772+T772</f>
        <v>3000</v>
      </c>
      <c r="V772" s="1">
        <f>U772-T772</f>
        <v>0</v>
      </c>
      <c r="W772" s="1">
        <f>T772+V772</f>
        <v>3000</v>
      </c>
      <c r="X772" s="1">
        <v>3000</v>
      </c>
      <c r="Y772" s="41">
        <f>X772-W772</f>
        <v>0</v>
      </c>
      <c r="Z772" s="1">
        <f>W772+Y772</f>
        <v>3000</v>
      </c>
      <c r="AA772" s="1">
        <v>1000</v>
      </c>
      <c r="AB772" s="1">
        <f t="shared" si="511"/>
        <v>-2000</v>
      </c>
      <c r="AC772" s="1">
        <f t="shared" si="512"/>
        <v>1000</v>
      </c>
      <c r="AD772" s="41">
        <v>1000</v>
      </c>
      <c r="AE772" s="1">
        <f t="shared" si="507"/>
        <v>0</v>
      </c>
      <c r="AF772" s="1">
        <f t="shared" si="508"/>
        <v>1000</v>
      </c>
    </row>
    <row r="773" spans="1:32">
      <c r="A773" s="11">
        <v>43000</v>
      </c>
      <c r="B773" s="11">
        <v>48100</v>
      </c>
      <c r="C773" s="11" t="s">
        <v>509</v>
      </c>
      <c r="D773" s="7">
        <v>4000</v>
      </c>
      <c r="E773" s="7"/>
      <c r="F773" s="7">
        <f>D773-E773</f>
        <v>4000</v>
      </c>
      <c r="G773" s="7"/>
      <c r="H773" s="7">
        <f>D773+G773</f>
        <v>4000</v>
      </c>
      <c r="I773" s="1"/>
      <c r="J773" s="1">
        <f>H773-I773</f>
        <v>4000</v>
      </c>
      <c r="K773" s="1"/>
      <c r="L773" s="1">
        <f>H773+K773</f>
        <v>4000</v>
      </c>
      <c r="M773" s="10">
        <v>-2000</v>
      </c>
      <c r="N773" s="1">
        <f>L773+M773</f>
        <v>2000</v>
      </c>
      <c r="O773" s="1"/>
      <c r="Q773" s="1">
        <f>N773+P773</f>
        <v>2000</v>
      </c>
      <c r="T773" s="1">
        <f>Q773+S773</f>
        <v>2000</v>
      </c>
      <c r="U773" s="1">
        <f>R773+T773</f>
        <v>2000</v>
      </c>
      <c r="V773" s="1">
        <f>U773-T773</f>
        <v>0</v>
      </c>
      <c r="W773" s="1">
        <f>T773+V773</f>
        <v>2000</v>
      </c>
      <c r="X773" s="1">
        <v>2000</v>
      </c>
      <c r="Y773" s="41">
        <f>X773-W773</f>
        <v>0</v>
      </c>
      <c r="Z773" s="1">
        <f>W773+Y773</f>
        <v>2000</v>
      </c>
      <c r="AA773" s="1">
        <v>2000</v>
      </c>
      <c r="AB773" s="41">
        <f t="shared" si="511"/>
        <v>0</v>
      </c>
      <c r="AC773" s="1">
        <f t="shared" si="512"/>
        <v>2000</v>
      </c>
      <c r="AD773" s="41">
        <v>2000</v>
      </c>
      <c r="AE773" s="1">
        <f t="shared" si="507"/>
        <v>0</v>
      </c>
      <c r="AF773" s="1">
        <f t="shared" si="508"/>
        <v>2000</v>
      </c>
    </row>
    <row r="774" spans="1:32">
      <c r="A774" s="13">
        <v>43200</v>
      </c>
      <c r="B774" s="11">
        <v>48100</v>
      </c>
      <c r="C774" s="42" t="s">
        <v>914</v>
      </c>
      <c r="D774" s="7">
        <v>0</v>
      </c>
      <c r="E774" s="7">
        <v>1000</v>
      </c>
      <c r="F774" s="7">
        <f>D774-E774</f>
        <v>-1000</v>
      </c>
      <c r="G774" s="7">
        <v>1000</v>
      </c>
      <c r="H774" s="7">
        <f>D774+G774</f>
        <v>1000</v>
      </c>
      <c r="I774" s="1"/>
      <c r="J774" s="1">
        <f>H774-I774</f>
        <v>1000</v>
      </c>
      <c r="K774" s="1"/>
      <c r="L774" s="1">
        <f>H774+K774</f>
        <v>1000</v>
      </c>
      <c r="M774" s="8"/>
      <c r="N774" s="1">
        <f>L774+M774</f>
        <v>1000</v>
      </c>
      <c r="O774" s="1"/>
      <c r="Q774" s="1">
        <f>N774+P774</f>
        <v>1000</v>
      </c>
      <c r="S774" s="41" t="s">
        <v>686</v>
      </c>
      <c r="T774" s="1">
        <v>1000</v>
      </c>
      <c r="U774" s="1">
        <v>1000</v>
      </c>
      <c r="V774" s="1">
        <f>U774-T774</f>
        <v>0</v>
      </c>
      <c r="W774" s="1">
        <f>T774+V774</f>
        <v>1000</v>
      </c>
      <c r="X774" s="1">
        <f>1500+5000+500</f>
        <v>7000</v>
      </c>
      <c r="Y774" s="41">
        <f>X774-W774</f>
        <v>6000</v>
      </c>
      <c r="Z774" s="1">
        <f>W774+Y774</f>
        <v>7000</v>
      </c>
      <c r="AA774" s="41">
        <v>6500</v>
      </c>
      <c r="AB774" s="41">
        <f t="shared" si="511"/>
        <v>-500</v>
      </c>
      <c r="AC774" s="1">
        <f t="shared" si="512"/>
        <v>6500</v>
      </c>
      <c r="AD774" s="41">
        <v>6500</v>
      </c>
      <c r="AE774" s="1">
        <f t="shared" si="507"/>
        <v>0</v>
      </c>
      <c r="AF774" s="1">
        <f t="shared" si="508"/>
        <v>6500</v>
      </c>
    </row>
    <row r="775" spans="1:32">
      <c r="A775" s="42">
        <v>43210</v>
      </c>
      <c r="B775" s="11">
        <v>48100</v>
      </c>
      <c r="C775" s="39" t="s">
        <v>844</v>
      </c>
      <c r="D775" s="7"/>
      <c r="E775" s="7"/>
      <c r="F775" s="7"/>
      <c r="G775" s="7"/>
      <c r="H775" s="7"/>
      <c r="I775" s="1"/>
      <c r="J775" s="1"/>
      <c r="K775" s="1"/>
      <c r="L775" s="1"/>
      <c r="N775" s="1"/>
      <c r="O775" s="1"/>
      <c r="R775" s="41"/>
      <c r="T775" s="1"/>
      <c r="U775" s="41"/>
      <c r="V775" s="1"/>
      <c r="W775" s="1"/>
      <c r="X775" s="41"/>
      <c r="Y775" s="41"/>
      <c r="Z775" s="47">
        <v>0</v>
      </c>
      <c r="AA775" s="41">
        <v>20000</v>
      </c>
      <c r="AB775" s="41">
        <f t="shared" si="511"/>
        <v>20000</v>
      </c>
      <c r="AC775" s="1">
        <f t="shared" si="512"/>
        <v>20000</v>
      </c>
      <c r="AD775" s="41">
        <v>15000</v>
      </c>
      <c r="AE775" s="1">
        <f t="shared" si="507"/>
        <v>-5000</v>
      </c>
      <c r="AF775" s="1">
        <f t="shared" si="508"/>
        <v>15000</v>
      </c>
    </row>
    <row r="776" spans="1:32">
      <c r="A776" s="11">
        <v>92900</v>
      </c>
      <c r="B776" s="11">
        <v>48100</v>
      </c>
      <c r="C776" s="39" t="s">
        <v>732</v>
      </c>
      <c r="D776" s="7"/>
      <c r="E776" s="7"/>
      <c r="F776" s="7"/>
      <c r="G776" s="7"/>
      <c r="H776" s="7"/>
      <c r="I776" s="8"/>
      <c r="J776" s="7"/>
      <c r="K776" s="8"/>
      <c r="L776" s="7"/>
      <c r="N776" s="7"/>
      <c r="O776" s="7"/>
      <c r="P776" s="7"/>
      <c r="Q776" s="7"/>
      <c r="T776" s="1">
        <v>0</v>
      </c>
      <c r="U776" s="1">
        <v>500</v>
      </c>
      <c r="V776" s="1">
        <f>U776-T776</f>
        <v>500</v>
      </c>
      <c r="W776" s="1">
        <f>T776+V776</f>
        <v>500</v>
      </c>
      <c r="X776" s="1">
        <v>1000</v>
      </c>
      <c r="Y776" s="41">
        <f t="shared" ref="Y776:Y785" si="513">X776-W776</f>
        <v>500</v>
      </c>
      <c r="Z776" s="1">
        <f t="shared" ref="Z776:Z785" si="514">W776+Y776</f>
        <v>1000</v>
      </c>
      <c r="AA776" s="1">
        <v>1000</v>
      </c>
      <c r="AB776" s="1">
        <f t="shared" si="511"/>
        <v>0</v>
      </c>
      <c r="AC776" s="1">
        <f t="shared" si="512"/>
        <v>1000</v>
      </c>
      <c r="AD776" s="41">
        <v>1000</v>
      </c>
      <c r="AE776" s="1">
        <f t="shared" si="507"/>
        <v>0</v>
      </c>
      <c r="AF776" s="1">
        <f t="shared" si="508"/>
        <v>1000</v>
      </c>
    </row>
    <row r="777" spans="1:32">
      <c r="A777" s="13">
        <v>23110</v>
      </c>
      <c r="B777" s="11">
        <v>48200</v>
      </c>
      <c r="C777" s="11" t="s">
        <v>634</v>
      </c>
      <c r="D777" s="8"/>
      <c r="E777" s="8"/>
      <c r="F777" s="8"/>
      <c r="G777" s="8"/>
      <c r="H777" s="8"/>
      <c r="I777" s="8"/>
      <c r="J777" s="8"/>
      <c r="K777" s="8"/>
      <c r="L777" s="10">
        <v>0</v>
      </c>
      <c r="M777" s="10">
        <v>100000</v>
      </c>
      <c r="N777" s="7">
        <f>L777+M777</f>
        <v>100000</v>
      </c>
      <c r="O777" s="7"/>
      <c r="P777" s="16"/>
      <c r="Q777" s="1">
        <f>N777+P777</f>
        <v>100000</v>
      </c>
      <c r="R777" s="3"/>
      <c r="S777" s="41"/>
      <c r="T777" s="1">
        <f>Q777+S777</f>
        <v>100000</v>
      </c>
      <c r="U777" s="1">
        <f>R777+T777</f>
        <v>100000</v>
      </c>
      <c r="V777" s="1">
        <f>U777-T777</f>
        <v>0</v>
      </c>
      <c r="W777" s="1">
        <f>T777+V777</f>
        <v>100000</v>
      </c>
      <c r="X777" s="41">
        <v>50000</v>
      </c>
      <c r="Y777" s="41">
        <f t="shared" si="513"/>
        <v>-50000</v>
      </c>
      <c r="Z777" s="1">
        <f t="shared" si="514"/>
        <v>50000</v>
      </c>
      <c r="AA777" s="41">
        <v>95000</v>
      </c>
      <c r="AB777" s="41">
        <f t="shared" si="511"/>
        <v>45000</v>
      </c>
      <c r="AC777" s="1">
        <f t="shared" si="512"/>
        <v>95000</v>
      </c>
      <c r="AD777" s="41">
        <v>80000</v>
      </c>
      <c r="AE777" s="1">
        <f t="shared" si="507"/>
        <v>-15000</v>
      </c>
      <c r="AF777" s="1">
        <f t="shared" si="508"/>
        <v>80000</v>
      </c>
    </row>
    <row r="778" spans="1:32">
      <c r="A778" s="42">
        <v>17000</v>
      </c>
      <c r="B778" s="11">
        <v>48900</v>
      </c>
      <c r="C778" s="39" t="s">
        <v>807</v>
      </c>
      <c r="D778" s="7"/>
      <c r="E778" s="7"/>
      <c r="F778" s="7"/>
      <c r="G778" s="7"/>
      <c r="H778" s="7"/>
      <c r="I778" s="1"/>
      <c r="J778" s="1"/>
      <c r="K778" s="1"/>
      <c r="L778" s="1"/>
      <c r="N778" s="1"/>
      <c r="O778" s="1"/>
      <c r="T778" s="1"/>
      <c r="V778" s="1"/>
      <c r="W778" s="1">
        <v>0</v>
      </c>
      <c r="X778" s="1">
        <v>10100</v>
      </c>
      <c r="Y778" s="41">
        <f t="shared" si="513"/>
        <v>10100</v>
      </c>
      <c r="Z778" s="1">
        <f t="shared" si="514"/>
        <v>10100</v>
      </c>
      <c r="AA778" s="1">
        <v>10100</v>
      </c>
      <c r="AB778" s="1">
        <f t="shared" si="511"/>
        <v>0</v>
      </c>
      <c r="AC778" s="1">
        <f t="shared" si="512"/>
        <v>10100</v>
      </c>
      <c r="AD778" s="41">
        <v>0</v>
      </c>
      <c r="AE778" s="1">
        <f t="shared" si="507"/>
        <v>-10100</v>
      </c>
      <c r="AF778" s="1">
        <f t="shared" si="508"/>
        <v>0</v>
      </c>
    </row>
    <row r="779" spans="1:32">
      <c r="A779" s="13">
        <v>23110</v>
      </c>
      <c r="B779" s="11">
        <v>48900</v>
      </c>
      <c r="C779" s="11" t="s">
        <v>86</v>
      </c>
      <c r="D779" s="8"/>
      <c r="E779" s="8"/>
      <c r="F779" s="8"/>
      <c r="G779" s="8"/>
      <c r="H779" s="8"/>
      <c r="I779" s="8"/>
      <c r="J779" s="8"/>
      <c r="K779" s="8"/>
      <c r="L779" s="10">
        <v>190600</v>
      </c>
      <c r="M779" s="10">
        <f>132000-L779</f>
        <v>-58600</v>
      </c>
      <c r="N779" s="7">
        <f t="shared" ref="N779:N785" si="515">L779+M779</f>
        <v>132000</v>
      </c>
      <c r="O779" s="7"/>
      <c r="P779" s="16">
        <v>-27000</v>
      </c>
      <c r="Q779" s="1">
        <f t="shared" ref="Q779:Q785" si="516">N779+P779</f>
        <v>105000</v>
      </c>
      <c r="R779" s="3"/>
      <c r="S779" s="16">
        <v>45000</v>
      </c>
      <c r="T779" s="1">
        <f t="shared" ref="T779:U783" si="517">Q779+S779</f>
        <v>150000</v>
      </c>
      <c r="U779" s="1">
        <f t="shared" si="517"/>
        <v>150000</v>
      </c>
      <c r="V779" s="1">
        <f t="shared" ref="V779:V785" si="518">U779-T779</f>
        <v>0</v>
      </c>
      <c r="W779" s="1">
        <f t="shared" ref="W779:W785" si="519">T779+V779</f>
        <v>150000</v>
      </c>
      <c r="X779" s="41">
        <v>160000</v>
      </c>
      <c r="Y779" s="41">
        <f t="shared" si="513"/>
        <v>10000</v>
      </c>
      <c r="Z779" s="1">
        <f t="shared" si="514"/>
        <v>160000</v>
      </c>
      <c r="AA779" s="41">
        <v>160000</v>
      </c>
      <c r="AB779" s="41">
        <f t="shared" si="511"/>
        <v>0</v>
      </c>
      <c r="AC779" s="1">
        <f t="shared" si="512"/>
        <v>160000</v>
      </c>
      <c r="AD779" s="41">
        <v>180000</v>
      </c>
      <c r="AE779" s="1">
        <f t="shared" si="507"/>
        <v>20000</v>
      </c>
      <c r="AF779" s="1">
        <f t="shared" si="508"/>
        <v>180000</v>
      </c>
    </row>
    <row r="780" spans="1:32">
      <c r="A780" s="13">
        <v>23111</v>
      </c>
      <c r="B780" s="11">
        <v>48900</v>
      </c>
      <c r="C780" s="11" t="s">
        <v>636</v>
      </c>
      <c r="D780" s="7"/>
      <c r="E780" s="7"/>
      <c r="F780" s="7"/>
      <c r="G780" s="7"/>
      <c r="H780" s="7"/>
      <c r="I780" s="7"/>
      <c r="J780" s="7"/>
      <c r="K780" s="7"/>
      <c r="L780" s="7">
        <v>0</v>
      </c>
      <c r="M780" s="10">
        <v>44700</v>
      </c>
      <c r="N780" s="7">
        <f t="shared" si="515"/>
        <v>44700</v>
      </c>
      <c r="O780" s="7"/>
      <c r="P780" s="1">
        <f>32000-N780</f>
        <v>-12700</v>
      </c>
      <c r="Q780" s="1">
        <f t="shared" si="516"/>
        <v>32000</v>
      </c>
      <c r="T780" s="1">
        <f t="shared" si="517"/>
        <v>32000</v>
      </c>
      <c r="U780" s="1">
        <f t="shared" si="517"/>
        <v>32000</v>
      </c>
      <c r="V780" s="1">
        <f t="shared" si="518"/>
        <v>0</v>
      </c>
      <c r="W780" s="1">
        <f t="shared" si="519"/>
        <v>32000</v>
      </c>
      <c r="X780" s="1">
        <v>42000</v>
      </c>
      <c r="Y780" s="41">
        <f t="shared" si="513"/>
        <v>10000</v>
      </c>
      <c r="Z780" s="1">
        <f t="shared" si="514"/>
        <v>42000</v>
      </c>
      <c r="AA780" s="1">
        <v>42000</v>
      </c>
      <c r="AB780" s="41">
        <f t="shared" si="511"/>
        <v>0</v>
      </c>
      <c r="AC780" s="1">
        <f t="shared" si="512"/>
        <v>42000</v>
      </c>
      <c r="AD780" s="41">
        <v>42000</v>
      </c>
      <c r="AE780" s="1">
        <f t="shared" si="507"/>
        <v>0</v>
      </c>
      <c r="AF780" s="1">
        <f t="shared" si="508"/>
        <v>42000</v>
      </c>
    </row>
    <row r="781" spans="1:32">
      <c r="A781" s="11">
        <v>32000</v>
      </c>
      <c r="B781" s="11">
        <v>48900</v>
      </c>
      <c r="C781" s="11" t="s">
        <v>408</v>
      </c>
      <c r="D781" s="7">
        <v>25000</v>
      </c>
      <c r="E781" s="7"/>
      <c r="F781" s="7">
        <f>D781-E781</f>
        <v>25000</v>
      </c>
      <c r="G781" s="7"/>
      <c r="H781" s="7">
        <f>D781+G781</f>
        <v>25000</v>
      </c>
      <c r="I781" s="1"/>
      <c r="J781" s="1">
        <f>H781-I781</f>
        <v>25000</v>
      </c>
      <c r="K781" s="1"/>
      <c r="L781" s="1">
        <f>H781+K781</f>
        <v>25000</v>
      </c>
      <c r="M781" s="7">
        <v>-10000</v>
      </c>
      <c r="N781" s="1">
        <f t="shared" si="515"/>
        <v>15000</v>
      </c>
      <c r="O781" s="1"/>
      <c r="P781" s="3"/>
      <c r="Q781" s="1">
        <f t="shared" si="516"/>
        <v>15000</v>
      </c>
      <c r="R781" s="3"/>
      <c r="S781" s="16"/>
      <c r="T781" s="1">
        <f t="shared" si="517"/>
        <v>15000</v>
      </c>
      <c r="U781" s="1">
        <f t="shared" si="517"/>
        <v>15000</v>
      </c>
      <c r="V781" s="1">
        <f t="shared" si="518"/>
        <v>0</v>
      </c>
      <c r="W781" s="1">
        <f t="shared" si="519"/>
        <v>15000</v>
      </c>
      <c r="X781" s="41">
        <v>12520</v>
      </c>
      <c r="Y781" s="41">
        <f t="shared" si="513"/>
        <v>-2480</v>
      </c>
      <c r="Z781" s="1">
        <f t="shared" si="514"/>
        <v>12520</v>
      </c>
      <c r="AA781" s="41">
        <v>19000</v>
      </c>
      <c r="AB781" s="41">
        <f t="shared" si="511"/>
        <v>6480</v>
      </c>
      <c r="AC781" s="1">
        <f t="shared" si="512"/>
        <v>19000</v>
      </c>
      <c r="AD781" s="41">
        <v>19000</v>
      </c>
      <c r="AE781" s="1">
        <f t="shared" si="507"/>
        <v>0</v>
      </c>
      <c r="AF781" s="1">
        <f t="shared" si="508"/>
        <v>19000</v>
      </c>
    </row>
    <row r="782" spans="1:32">
      <c r="A782" s="11">
        <v>33400</v>
      </c>
      <c r="B782" s="11">
        <v>48900</v>
      </c>
      <c r="C782" s="11" t="s">
        <v>434</v>
      </c>
      <c r="D782" s="7">
        <v>27000</v>
      </c>
      <c r="E782" s="7"/>
      <c r="F782" s="7">
        <f>D782-E782</f>
        <v>27000</v>
      </c>
      <c r="G782" s="7"/>
      <c r="H782" s="7">
        <f>D782+G782</f>
        <v>27000</v>
      </c>
      <c r="I782" s="1"/>
      <c r="J782" s="1">
        <f>H782-I782</f>
        <v>27000</v>
      </c>
      <c r="K782" s="1"/>
      <c r="L782" s="1">
        <f>H782+K782</f>
        <v>27000</v>
      </c>
      <c r="N782" s="1">
        <f t="shared" si="515"/>
        <v>27000</v>
      </c>
      <c r="O782" s="1"/>
      <c r="Q782" s="1">
        <f t="shared" si="516"/>
        <v>27000</v>
      </c>
      <c r="T782" s="1">
        <f t="shared" si="517"/>
        <v>27000</v>
      </c>
      <c r="U782" s="1">
        <f t="shared" si="517"/>
        <v>27000</v>
      </c>
      <c r="V782" s="1">
        <f t="shared" si="518"/>
        <v>0</v>
      </c>
      <c r="W782" s="1">
        <f t="shared" si="519"/>
        <v>27000</v>
      </c>
      <c r="X782" s="1">
        <v>28000</v>
      </c>
      <c r="Y782" s="41">
        <f t="shared" si="513"/>
        <v>1000</v>
      </c>
      <c r="Z782" s="1">
        <f t="shared" si="514"/>
        <v>28000</v>
      </c>
      <c r="AA782" s="1">
        <v>28000</v>
      </c>
      <c r="AB782" s="1">
        <f t="shared" si="511"/>
        <v>0</v>
      </c>
      <c r="AC782" s="1">
        <f t="shared" si="512"/>
        <v>28000</v>
      </c>
      <c r="AD782" s="41">
        <v>28000</v>
      </c>
      <c r="AE782" s="1">
        <f t="shared" si="507"/>
        <v>0</v>
      </c>
      <c r="AF782" s="1">
        <f t="shared" si="508"/>
        <v>28000</v>
      </c>
    </row>
    <row r="783" spans="1:32">
      <c r="A783" s="11">
        <v>34000</v>
      </c>
      <c r="B783" s="11">
        <v>48900</v>
      </c>
      <c r="C783" s="11" t="s">
        <v>455</v>
      </c>
      <c r="D783" s="7">
        <v>270202</v>
      </c>
      <c r="E783" s="7">
        <v>207054</v>
      </c>
      <c r="F783" s="7">
        <f>D783-E783</f>
        <v>63148</v>
      </c>
      <c r="G783" s="7">
        <v>-63148</v>
      </c>
      <c r="H783" s="7">
        <f>D783+G783</f>
        <v>207054</v>
      </c>
      <c r="I783" s="1"/>
      <c r="J783" s="1">
        <f>H783-I783</f>
        <v>207054</v>
      </c>
      <c r="K783" s="1"/>
      <c r="L783" s="1">
        <f>H783+K783</f>
        <v>207054</v>
      </c>
      <c r="M783" s="7">
        <f>123100-L783</f>
        <v>-83954</v>
      </c>
      <c r="N783" s="1">
        <f t="shared" si="515"/>
        <v>123100</v>
      </c>
      <c r="O783" s="1"/>
      <c r="P783" s="1">
        <v>-33200</v>
      </c>
      <c r="Q783" s="1">
        <f t="shared" si="516"/>
        <v>89900</v>
      </c>
      <c r="T783" s="1">
        <f t="shared" si="517"/>
        <v>89900</v>
      </c>
      <c r="U783" s="1">
        <f t="shared" si="517"/>
        <v>89900</v>
      </c>
      <c r="V783" s="1">
        <f t="shared" si="518"/>
        <v>0</v>
      </c>
      <c r="W783" s="1">
        <f t="shared" si="519"/>
        <v>89900</v>
      </c>
      <c r="X783" s="1">
        <v>89900</v>
      </c>
      <c r="Y783" s="41">
        <f t="shared" si="513"/>
        <v>0</v>
      </c>
      <c r="Z783" s="1">
        <f t="shared" si="514"/>
        <v>89900</v>
      </c>
      <c r="AA783" s="1">
        <v>95900</v>
      </c>
      <c r="AB783" s="1">
        <f t="shared" si="511"/>
        <v>6000</v>
      </c>
      <c r="AC783" s="1">
        <f t="shared" si="512"/>
        <v>95900</v>
      </c>
      <c r="AD783" s="41">
        <f>95900-17000</f>
        <v>78900</v>
      </c>
      <c r="AE783" s="1">
        <f t="shared" ref="AE783:AE803" si="520">AD783-AC783</f>
        <v>-17000</v>
      </c>
      <c r="AF783" s="1">
        <f t="shared" ref="AF783:AF803" si="521">AC783+AE783</f>
        <v>78900</v>
      </c>
    </row>
    <row r="784" spans="1:32">
      <c r="A784" s="11">
        <v>91200</v>
      </c>
      <c r="B784" s="11">
        <v>48900</v>
      </c>
      <c r="C784" s="11" t="s">
        <v>235</v>
      </c>
      <c r="D784" s="7">
        <v>15395</v>
      </c>
      <c r="E784" s="7"/>
      <c r="F784" s="7">
        <f>D784-E784</f>
        <v>15395</v>
      </c>
      <c r="G784" s="7"/>
      <c r="H784" s="7">
        <f>D784+G784</f>
        <v>15395</v>
      </c>
      <c r="I784" s="3"/>
      <c r="J784" s="1">
        <f>H784-I784</f>
        <v>15395</v>
      </c>
      <c r="K784" s="3"/>
      <c r="L784" s="1">
        <f>H784+K784</f>
        <v>15395</v>
      </c>
      <c r="N784" s="1">
        <f t="shared" si="515"/>
        <v>15395</v>
      </c>
      <c r="O784" s="1"/>
      <c r="Q784" s="1">
        <f t="shared" si="516"/>
        <v>15395</v>
      </c>
      <c r="R784" s="1">
        <v>8891</v>
      </c>
      <c r="T784" s="1">
        <f>Q784+S784</f>
        <v>15395</v>
      </c>
      <c r="U784" s="1">
        <f>8891+2502.54</f>
        <v>11393.54</v>
      </c>
      <c r="V784" s="1">
        <f t="shared" si="518"/>
        <v>-4001.4599999999991</v>
      </c>
      <c r="W784" s="1">
        <f t="shared" si="519"/>
        <v>11393.54</v>
      </c>
      <c r="X784" s="1">
        <v>12500</v>
      </c>
      <c r="Y784" s="41">
        <f t="shared" si="513"/>
        <v>1106.4599999999991</v>
      </c>
      <c r="Z784" s="1">
        <f t="shared" si="514"/>
        <v>12500</v>
      </c>
      <c r="AA784" s="1">
        <v>16000</v>
      </c>
      <c r="AB784" s="1">
        <f t="shared" si="511"/>
        <v>3500</v>
      </c>
      <c r="AC784" s="1">
        <f t="shared" si="512"/>
        <v>16000</v>
      </c>
      <c r="AD784" s="41">
        <v>17000</v>
      </c>
      <c r="AE784" s="1">
        <f t="shared" si="520"/>
        <v>1000</v>
      </c>
      <c r="AF784" s="1">
        <f t="shared" si="521"/>
        <v>17000</v>
      </c>
    </row>
    <row r="785" spans="1:32">
      <c r="A785" s="11">
        <v>92000</v>
      </c>
      <c r="B785" s="11">
        <v>48900</v>
      </c>
      <c r="C785" s="11" t="s">
        <v>528</v>
      </c>
      <c r="D785" s="7"/>
      <c r="E785" s="7"/>
      <c r="F785" s="7"/>
      <c r="G785" s="7"/>
      <c r="H785" s="7"/>
      <c r="I785" s="1"/>
      <c r="J785" s="1"/>
      <c r="K785" s="1"/>
      <c r="L785" s="1">
        <v>0</v>
      </c>
      <c r="M785" s="7">
        <v>98665.600000000006</v>
      </c>
      <c r="N785" s="1">
        <f t="shared" si="515"/>
        <v>98665.600000000006</v>
      </c>
      <c r="O785" s="1"/>
      <c r="Q785" s="1">
        <f t="shared" si="516"/>
        <v>98665.600000000006</v>
      </c>
      <c r="R785" s="1">
        <f>70500+3500</f>
        <v>74000</v>
      </c>
      <c r="S785" s="1">
        <f>R785-Q785</f>
        <v>-24665.600000000006</v>
      </c>
      <c r="T785" s="1">
        <f>Q785+S785</f>
        <v>74000</v>
      </c>
      <c r="U785" s="1">
        <v>74000</v>
      </c>
      <c r="V785" s="1">
        <f t="shared" si="518"/>
        <v>0</v>
      </c>
      <c r="W785" s="1">
        <f t="shared" si="519"/>
        <v>74000</v>
      </c>
      <c r="X785" s="1">
        <v>0</v>
      </c>
      <c r="Y785" s="41">
        <f t="shared" si="513"/>
        <v>-74000</v>
      </c>
      <c r="Z785" s="1">
        <f t="shared" si="514"/>
        <v>0</v>
      </c>
      <c r="AA785" s="1">
        <f>18000+18000</f>
        <v>36000</v>
      </c>
      <c r="AB785" s="1">
        <f t="shared" si="511"/>
        <v>36000</v>
      </c>
      <c r="AC785" s="1">
        <f t="shared" si="512"/>
        <v>36000</v>
      </c>
      <c r="AD785" s="41">
        <v>87000</v>
      </c>
      <c r="AE785" s="1">
        <f t="shared" si="520"/>
        <v>51000</v>
      </c>
      <c r="AF785" s="1">
        <f t="shared" si="521"/>
        <v>87000</v>
      </c>
    </row>
    <row r="786" spans="1:32">
      <c r="A786" s="42">
        <v>17000</v>
      </c>
      <c r="B786" s="11">
        <v>48901</v>
      </c>
      <c r="C786" s="39" t="s">
        <v>893</v>
      </c>
      <c r="D786" s="7"/>
      <c r="E786" s="7"/>
      <c r="F786" s="7"/>
      <c r="G786" s="7"/>
      <c r="H786" s="7"/>
      <c r="I786" s="1"/>
      <c r="J786" s="1"/>
      <c r="K786" s="1"/>
      <c r="L786" s="1"/>
      <c r="N786" s="1"/>
      <c r="O786" s="1"/>
      <c r="T786" s="1"/>
      <c r="V786" s="1"/>
      <c r="W786" s="1"/>
      <c r="Y786" s="41"/>
      <c r="Z786" s="1">
        <v>0</v>
      </c>
      <c r="AA786" s="1">
        <v>3000</v>
      </c>
      <c r="AB786" s="1">
        <f t="shared" si="511"/>
        <v>3000</v>
      </c>
      <c r="AC786" s="1">
        <f t="shared" si="512"/>
        <v>3000</v>
      </c>
      <c r="AD786" s="41">
        <v>4000</v>
      </c>
      <c r="AE786" s="1">
        <f t="shared" si="520"/>
        <v>1000</v>
      </c>
      <c r="AF786" s="1">
        <f t="shared" si="521"/>
        <v>4000</v>
      </c>
    </row>
    <row r="787" spans="1:32">
      <c r="A787" s="13">
        <v>23111</v>
      </c>
      <c r="B787" s="11">
        <v>48901</v>
      </c>
      <c r="C787" s="11" t="s">
        <v>336</v>
      </c>
      <c r="D787" s="7">
        <v>30000</v>
      </c>
      <c r="E787" s="7">
        <v>31000</v>
      </c>
      <c r="F787" s="7">
        <f>D787-E787</f>
        <v>-1000</v>
      </c>
      <c r="G787" s="7">
        <v>1000</v>
      </c>
      <c r="H787" s="7">
        <f>D787+G787</f>
        <v>31000</v>
      </c>
      <c r="I787" s="7">
        <v>31000</v>
      </c>
      <c r="J787" s="7">
        <f>H787-I787</f>
        <v>0</v>
      </c>
      <c r="K787" s="7">
        <v>0</v>
      </c>
      <c r="L787" s="7">
        <v>31000</v>
      </c>
      <c r="M787" s="10">
        <v>0</v>
      </c>
      <c r="N787" s="7">
        <f>L787+M787</f>
        <v>31000</v>
      </c>
      <c r="O787" s="7"/>
      <c r="Q787" s="1">
        <f>N787+P787</f>
        <v>31000</v>
      </c>
      <c r="T787" s="1">
        <f>Q787+S787</f>
        <v>31000</v>
      </c>
      <c r="U787" s="1">
        <f>R787+T787</f>
        <v>31000</v>
      </c>
      <c r="V787" s="1">
        <f>U787-T787</f>
        <v>0</v>
      </c>
      <c r="W787" s="1">
        <f>T787+V787</f>
        <v>31000</v>
      </c>
      <c r="X787" s="1">
        <v>31000</v>
      </c>
      <c r="Y787" s="41">
        <f>X787-W787</f>
        <v>0</v>
      </c>
      <c r="Z787" s="1">
        <f>W787+Y787</f>
        <v>31000</v>
      </c>
      <c r="AA787" s="1">
        <v>31000</v>
      </c>
      <c r="AB787" s="41">
        <f t="shared" si="511"/>
        <v>0</v>
      </c>
      <c r="AC787" s="1">
        <f t="shared" si="512"/>
        <v>31000</v>
      </c>
      <c r="AD787" s="41">
        <v>62000</v>
      </c>
      <c r="AE787" s="1">
        <f t="shared" si="520"/>
        <v>31000</v>
      </c>
      <c r="AF787" s="1">
        <f t="shared" si="521"/>
        <v>62000</v>
      </c>
    </row>
    <row r="788" spans="1:32">
      <c r="A788" s="11">
        <v>32000</v>
      </c>
      <c r="B788" s="11">
        <v>48901</v>
      </c>
      <c r="C788" s="11" t="s">
        <v>702</v>
      </c>
      <c r="D788" s="7">
        <v>230000</v>
      </c>
      <c r="E788" s="7"/>
      <c r="F788" s="7">
        <f>D788-E788</f>
        <v>230000</v>
      </c>
      <c r="G788" s="7">
        <v>-90000</v>
      </c>
      <c r="H788" s="7">
        <f>D788+G788</f>
        <v>140000</v>
      </c>
      <c r="I788" s="1"/>
      <c r="J788" s="1">
        <f>H788-I788</f>
        <v>140000</v>
      </c>
      <c r="K788" s="1"/>
      <c r="L788" s="1">
        <f>H788+K788</f>
        <v>140000</v>
      </c>
      <c r="M788" s="7">
        <v>0</v>
      </c>
      <c r="N788" s="1">
        <f>L788+M788</f>
        <v>140000</v>
      </c>
      <c r="O788" s="1"/>
      <c r="P788" s="16">
        <v>-70000</v>
      </c>
      <c r="Q788" s="1">
        <f>N788+P788</f>
        <v>70000</v>
      </c>
      <c r="R788" s="3"/>
      <c r="S788" s="16">
        <v>15000</v>
      </c>
      <c r="T788" s="1">
        <f>Q788+S788</f>
        <v>85000</v>
      </c>
      <c r="U788" s="1">
        <f>R788+T788</f>
        <v>85000</v>
      </c>
      <c r="V788" s="1">
        <f>U788-T788</f>
        <v>0</v>
      </c>
      <c r="W788" s="1">
        <f>T788+V788</f>
        <v>85000</v>
      </c>
      <c r="X788" s="41">
        <v>200000</v>
      </c>
      <c r="Y788" s="41">
        <f>X788-W788</f>
        <v>115000</v>
      </c>
      <c r="Z788" s="1">
        <f>W788+Y788</f>
        <v>200000</v>
      </c>
      <c r="AA788" s="41">
        <v>40000</v>
      </c>
      <c r="AB788" s="41">
        <f t="shared" si="511"/>
        <v>-160000</v>
      </c>
      <c r="AC788" s="1">
        <f t="shared" si="512"/>
        <v>40000</v>
      </c>
      <c r="AD788" s="41">
        <v>20000</v>
      </c>
      <c r="AE788" s="1">
        <f t="shared" si="520"/>
        <v>-20000</v>
      </c>
      <c r="AF788" s="1">
        <f t="shared" si="521"/>
        <v>20000</v>
      </c>
    </row>
    <row r="789" spans="1:32">
      <c r="A789" s="13">
        <v>33800</v>
      </c>
      <c r="B789" s="11">
        <v>48901</v>
      </c>
      <c r="C789" s="11" t="s">
        <v>482</v>
      </c>
      <c r="D789" s="7">
        <v>68640</v>
      </c>
      <c r="E789" s="7"/>
      <c r="F789" s="7">
        <f>D789-E789</f>
        <v>68640</v>
      </c>
      <c r="G789" s="7"/>
      <c r="H789" s="7">
        <f>D789+G789</f>
        <v>68640</v>
      </c>
      <c r="I789" s="1"/>
      <c r="J789" s="1">
        <f>H789-I789</f>
        <v>68640</v>
      </c>
      <c r="K789" s="1"/>
      <c r="L789" s="1">
        <f>H789+K789</f>
        <v>68640</v>
      </c>
      <c r="M789" s="10">
        <f>57000-L789</f>
        <v>-11640</v>
      </c>
      <c r="N789" s="1">
        <f>L789+M789</f>
        <v>57000</v>
      </c>
      <c r="O789" s="1"/>
      <c r="P789" s="1">
        <v>-4000</v>
      </c>
      <c r="Q789" s="1">
        <f>N789+P789</f>
        <v>53000</v>
      </c>
      <c r="R789" s="1">
        <v>117617</v>
      </c>
      <c r="S789" s="1">
        <f>R789-Q789</f>
        <v>64617</v>
      </c>
      <c r="T789" s="1">
        <f>Q789+S789</f>
        <v>117617</v>
      </c>
      <c r="U789" s="1">
        <v>117617</v>
      </c>
      <c r="V789" s="1">
        <f>U789-T789</f>
        <v>0</v>
      </c>
      <c r="W789" s="1">
        <f>T789+V789</f>
        <v>117617</v>
      </c>
      <c r="X789" s="1">
        <v>117617</v>
      </c>
      <c r="Y789" s="41">
        <f>X789-W789</f>
        <v>0</v>
      </c>
      <c r="Z789" s="1">
        <f>W789+Y789</f>
        <v>117617</v>
      </c>
      <c r="AA789" s="1">
        <v>117617</v>
      </c>
      <c r="AB789" s="1">
        <f t="shared" si="511"/>
        <v>0</v>
      </c>
      <c r="AC789" s="1">
        <f t="shared" si="512"/>
        <v>117617</v>
      </c>
      <c r="AD789" s="41">
        <f>117617-6500</f>
        <v>111117</v>
      </c>
      <c r="AE789" s="1">
        <f t="shared" si="520"/>
        <v>-6500</v>
      </c>
      <c r="AF789" s="1">
        <f t="shared" si="521"/>
        <v>111117</v>
      </c>
    </row>
    <row r="790" spans="1:32">
      <c r="A790" s="11">
        <v>34000</v>
      </c>
      <c r="B790" s="11">
        <v>48901</v>
      </c>
      <c r="C790" s="11" t="s">
        <v>456</v>
      </c>
      <c r="D790" s="7">
        <v>129100</v>
      </c>
      <c r="E790" s="7">
        <v>269597</v>
      </c>
      <c r="F790" s="7">
        <f>D790-E790</f>
        <v>-140497</v>
      </c>
      <c r="G790" s="7">
        <v>140497</v>
      </c>
      <c r="H790" s="7">
        <f>D790+G790</f>
        <v>269597</v>
      </c>
      <c r="I790" s="1"/>
      <c r="J790" s="1">
        <f>H790-I790</f>
        <v>269597</v>
      </c>
      <c r="K790" s="1"/>
      <c r="L790" s="1">
        <f>H790+K790</f>
        <v>269597</v>
      </c>
      <c r="M790" s="7">
        <f>294693-L790</f>
        <v>25096</v>
      </c>
      <c r="N790" s="1">
        <f>L790+M790</f>
        <v>294693</v>
      </c>
      <c r="O790" s="1"/>
      <c r="Q790" s="1">
        <f>N790+P790</f>
        <v>294693</v>
      </c>
      <c r="T790" s="1">
        <f>Q790+S790</f>
        <v>294693</v>
      </c>
      <c r="U790" s="1">
        <v>334187</v>
      </c>
      <c r="V790" s="1">
        <f>U790-T790</f>
        <v>39494</v>
      </c>
      <c r="W790" s="1">
        <f>T790+V790</f>
        <v>334187</v>
      </c>
      <c r="X790" s="1">
        <v>467170</v>
      </c>
      <c r="Y790" s="41">
        <f>X790-W790</f>
        <v>132983</v>
      </c>
      <c r="Z790" s="1">
        <f>W790+Y790</f>
        <v>467170</v>
      </c>
      <c r="AA790" s="1">
        <v>516258</v>
      </c>
      <c r="AB790" s="1">
        <f t="shared" si="511"/>
        <v>49088</v>
      </c>
      <c r="AC790" s="1">
        <f t="shared" si="512"/>
        <v>516258</v>
      </c>
      <c r="AD790" s="41">
        <v>535840</v>
      </c>
      <c r="AE790" s="1">
        <f t="shared" si="520"/>
        <v>19582</v>
      </c>
      <c r="AF790" s="1">
        <f t="shared" si="521"/>
        <v>535840</v>
      </c>
    </row>
    <row r="791" spans="1:32">
      <c r="A791" s="42">
        <v>43200</v>
      </c>
      <c r="B791" s="11">
        <v>48901</v>
      </c>
      <c r="C791" s="42" t="s">
        <v>915</v>
      </c>
      <c r="D791" s="7"/>
      <c r="E791" s="7"/>
      <c r="F791" s="7"/>
      <c r="G791" s="7"/>
      <c r="H791" s="7"/>
      <c r="I791" s="1"/>
      <c r="J791" s="1"/>
      <c r="K791" s="1"/>
      <c r="L791" s="1"/>
      <c r="M791" s="8"/>
      <c r="N791" s="1"/>
      <c r="O791" s="1"/>
      <c r="S791" s="41"/>
      <c r="T791" s="1"/>
      <c r="V791" s="1"/>
      <c r="W791" s="1"/>
      <c r="Y791" s="41"/>
      <c r="Z791" s="1"/>
      <c r="AA791" s="41"/>
      <c r="AB791" s="41"/>
      <c r="AC791" s="1">
        <v>0</v>
      </c>
      <c r="AD791" s="41">
        <v>5000</v>
      </c>
      <c r="AE791" s="1">
        <f t="shared" si="520"/>
        <v>5000</v>
      </c>
      <c r="AF791" s="1">
        <f t="shared" si="521"/>
        <v>5000</v>
      </c>
    </row>
    <row r="792" spans="1:32">
      <c r="A792" s="13">
        <v>23111</v>
      </c>
      <c r="B792" s="11">
        <v>48902</v>
      </c>
      <c r="C792" s="11" t="s">
        <v>337</v>
      </c>
      <c r="D792" s="7">
        <v>24000</v>
      </c>
      <c r="E792" s="7">
        <v>26000</v>
      </c>
      <c r="F792" s="7">
        <f>D792-E792</f>
        <v>-2000</v>
      </c>
      <c r="G792" s="7">
        <v>2000</v>
      </c>
      <c r="H792" s="7">
        <f>D792+G792</f>
        <v>26000</v>
      </c>
      <c r="I792" s="7">
        <v>31000</v>
      </c>
      <c r="J792" s="7">
        <f>H792-I792</f>
        <v>-5000</v>
      </c>
      <c r="K792" s="7">
        <v>5000</v>
      </c>
      <c r="L792" s="7">
        <v>31000</v>
      </c>
      <c r="M792" s="10">
        <v>0</v>
      </c>
      <c r="N792" s="7">
        <f>L792+M792</f>
        <v>31000</v>
      </c>
      <c r="O792" s="7"/>
      <c r="Q792" s="1">
        <f>N792+P792</f>
        <v>31000</v>
      </c>
      <c r="T792" s="1">
        <f>Q792+S792</f>
        <v>31000</v>
      </c>
      <c r="U792" s="1">
        <f>R792+T792</f>
        <v>31000</v>
      </c>
      <c r="V792" s="1">
        <f>U792-T792</f>
        <v>0</v>
      </c>
      <c r="W792" s="1">
        <f>T792+V792</f>
        <v>31000</v>
      </c>
      <c r="X792" s="1">
        <v>31000</v>
      </c>
      <c r="Y792" s="41">
        <f>X792-W792</f>
        <v>0</v>
      </c>
      <c r="Z792" s="1">
        <f>W792+Y792</f>
        <v>31000</v>
      </c>
      <c r="AA792" s="1">
        <v>31000</v>
      </c>
      <c r="AB792" s="41">
        <f t="shared" ref="AB792:AB803" si="522">AA792-Z792</f>
        <v>0</v>
      </c>
      <c r="AC792" s="1">
        <f t="shared" ref="AC792:AC803" si="523">Z792+AB792</f>
        <v>31000</v>
      </c>
      <c r="AD792" s="41">
        <v>0</v>
      </c>
      <c r="AE792" s="1">
        <f t="shared" si="520"/>
        <v>-31000</v>
      </c>
      <c r="AF792" s="1">
        <f t="shared" si="521"/>
        <v>0</v>
      </c>
    </row>
    <row r="793" spans="1:32">
      <c r="A793" s="11">
        <v>32000</v>
      </c>
      <c r="B793" s="11">
        <v>48902</v>
      </c>
      <c r="C793" s="11" t="s">
        <v>931</v>
      </c>
      <c r="D793" s="7"/>
      <c r="E793" s="7"/>
      <c r="F793" s="7"/>
      <c r="G793" s="7"/>
      <c r="H793" s="7"/>
      <c r="I793" s="1"/>
      <c r="J793" s="1"/>
      <c r="K793" s="1"/>
      <c r="L793" s="1"/>
      <c r="N793" s="1"/>
      <c r="O793" s="1"/>
      <c r="P793" s="16"/>
      <c r="R793" s="3"/>
      <c r="S793" s="16"/>
      <c r="T793" s="1"/>
      <c r="V793" s="1"/>
      <c r="W793" s="1">
        <v>0</v>
      </c>
      <c r="X793" s="41">
        <v>35000</v>
      </c>
      <c r="Y793" s="41">
        <f>X793-W793</f>
        <v>35000</v>
      </c>
      <c r="Z793" s="1">
        <f>W793+Y793</f>
        <v>35000</v>
      </c>
      <c r="AA793" s="41">
        <v>35000</v>
      </c>
      <c r="AB793" s="41">
        <f t="shared" si="522"/>
        <v>0</v>
      </c>
      <c r="AC793" s="1">
        <f t="shared" si="523"/>
        <v>35000</v>
      </c>
      <c r="AD793" s="41">
        <v>50000</v>
      </c>
      <c r="AE793" s="1">
        <f t="shared" si="520"/>
        <v>15000</v>
      </c>
      <c r="AF793" s="1">
        <f t="shared" si="521"/>
        <v>50000</v>
      </c>
    </row>
    <row r="794" spans="1:32">
      <c r="A794" s="11">
        <v>33400</v>
      </c>
      <c r="B794" s="11">
        <v>48902</v>
      </c>
      <c r="C794" s="39" t="s">
        <v>829</v>
      </c>
      <c r="D794" s="7"/>
      <c r="E794" s="7"/>
      <c r="F794" s="7"/>
      <c r="G794" s="7"/>
      <c r="H794" s="7"/>
      <c r="I794" s="1"/>
      <c r="J794" s="1"/>
      <c r="K794" s="1"/>
      <c r="L794" s="1"/>
      <c r="N794" s="1"/>
      <c r="O794" s="1"/>
      <c r="T794" s="1"/>
      <c r="V794" s="1"/>
      <c r="W794" s="1"/>
      <c r="Y794" s="41"/>
      <c r="Z794" s="1">
        <v>0</v>
      </c>
      <c r="AA794" s="1">
        <v>3000</v>
      </c>
      <c r="AB794" s="1">
        <f t="shared" si="522"/>
        <v>3000</v>
      </c>
      <c r="AC794" s="1">
        <f t="shared" si="523"/>
        <v>3000</v>
      </c>
      <c r="AD794" s="41">
        <v>3000</v>
      </c>
      <c r="AE794" s="1">
        <f t="shared" si="520"/>
        <v>0</v>
      </c>
      <c r="AF794" s="1">
        <f t="shared" si="521"/>
        <v>3000</v>
      </c>
    </row>
    <row r="795" spans="1:32">
      <c r="A795" s="13">
        <v>33800</v>
      </c>
      <c r="B795" s="11">
        <v>48902</v>
      </c>
      <c r="C795" s="11" t="s">
        <v>483</v>
      </c>
      <c r="D795" s="7">
        <v>116500</v>
      </c>
      <c r="E795" s="7"/>
      <c r="F795" s="7">
        <f>D795-E795</f>
        <v>116500</v>
      </c>
      <c r="G795" s="7"/>
      <c r="H795" s="7">
        <f>D795+G795</f>
        <v>116500</v>
      </c>
      <c r="I795" s="1"/>
      <c r="J795" s="1">
        <f>H795-I795</f>
        <v>116500</v>
      </c>
      <c r="K795" s="1"/>
      <c r="L795" s="1">
        <f>H795+K795</f>
        <v>116500</v>
      </c>
      <c r="M795" s="10">
        <f>100617-L795</f>
        <v>-15883</v>
      </c>
      <c r="N795" s="1">
        <f>L795+M795</f>
        <v>100617</v>
      </c>
      <c r="O795" s="1"/>
      <c r="P795" s="1">
        <v>-20000</v>
      </c>
      <c r="Q795" s="1">
        <f>N795+P795</f>
        <v>80617</v>
      </c>
      <c r="R795" s="1">
        <v>16000</v>
      </c>
      <c r="S795" s="1">
        <f>R795-Q795</f>
        <v>-64617</v>
      </c>
      <c r="T795" s="1">
        <f>Q795+S795</f>
        <v>16000</v>
      </c>
      <c r="U795" s="1">
        <v>16000</v>
      </c>
      <c r="V795" s="1">
        <f>U795-T795</f>
        <v>0</v>
      </c>
      <c r="W795" s="1">
        <f>T795+V795</f>
        <v>16000</v>
      </c>
      <c r="X795" s="1">
        <v>16000</v>
      </c>
      <c r="Y795" s="41">
        <f>X795-W795</f>
        <v>0</v>
      </c>
      <c r="Z795" s="1">
        <f>W795+Y795</f>
        <v>16000</v>
      </c>
      <c r="AA795" s="1">
        <v>16000</v>
      </c>
      <c r="AB795" s="1">
        <f t="shared" si="522"/>
        <v>0</v>
      </c>
      <c r="AC795" s="1">
        <f t="shared" si="523"/>
        <v>16000</v>
      </c>
      <c r="AD795" s="41">
        <v>16000</v>
      </c>
      <c r="AE795" s="1">
        <f t="shared" si="520"/>
        <v>0</v>
      </c>
      <c r="AF795" s="1">
        <f t="shared" si="521"/>
        <v>16000</v>
      </c>
    </row>
    <row r="796" spans="1:32">
      <c r="A796" s="11">
        <v>34000</v>
      </c>
      <c r="B796" s="11">
        <v>48902</v>
      </c>
      <c r="C796" s="39" t="s">
        <v>825</v>
      </c>
      <c r="D796" s="7"/>
      <c r="E796" s="7"/>
      <c r="F796" s="7"/>
      <c r="G796" s="7"/>
      <c r="H796" s="7"/>
      <c r="I796" s="1"/>
      <c r="J796" s="1"/>
      <c r="K796" s="1"/>
      <c r="L796" s="1"/>
      <c r="N796" s="1"/>
      <c r="O796" s="1"/>
      <c r="T796" s="1"/>
      <c r="V796" s="1"/>
      <c r="W796" s="1"/>
      <c r="Y796" s="41"/>
      <c r="Z796" s="1">
        <v>0</v>
      </c>
      <c r="AA796" s="1">
        <v>0</v>
      </c>
      <c r="AB796" s="1">
        <f t="shared" si="522"/>
        <v>0</v>
      </c>
      <c r="AC796" s="1">
        <f t="shared" si="523"/>
        <v>0</v>
      </c>
      <c r="AD796" s="41">
        <v>0</v>
      </c>
      <c r="AE796" s="1">
        <f t="shared" si="520"/>
        <v>0</v>
      </c>
      <c r="AF796" s="1">
        <f t="shared" si="521"/>
        <v>0</v>
      </c>
    </row>
    <row r="797" spans="1:32">
      <c r="A797" s="13">
        <v>43200</v>
      </c>
      <c r="B797" s="11">
        <v>48902</v>
      </c>
      <c r="C797" s="11" t="s">
        <v>529</v>
      </c>
      <c r="D797" s="7">
        <v>36000</v>
      </c>
      <c r="E797" s="7"/>
      <c r="F797" s="7">
        <f>D797-E797</f>
        <v>36000</v>
      </c>
      <c r="G797" s="7"/>
      <c r="H797" s="7">
        <f>D797+G797</f>
        <v>36000</v>
      </c>
      <c r="I797" s="1"/>
      <c r="J797" s="1">
        <f>H797-I797</f>
        <v>36000</v>
      </c>
      <c r="K797" s="1"/>
      <c r="L797" s="1">
        <f>H797+K797</f>
        <v>36000</v>
      </c>
      <c r="M797" s="10">
        <f>30000-L797</f>
        <v>-6000</v>
      </c>
      <c r="N797" s="1">
        <f>L797+M797</f>
        <v>30000</v>
      </c>
      <c r="O797" s="1"/>
      <c r="P797" s="16">
        <v>-5000</v>
      </c>
      <c r="Q797" s="1">
        <f>N797+P797</f>
        <v>25000</v>
      </c>
      <c r="R797" s="3"/>
      <c r="S797" s="16"/>
      <c r="T797" s="1">
        <f t="shared" ref="T797:U800" si="524">Q797+S797</f>
        <v>25000</v>
      </c>
      <c r="U797" s="1">
        <f t="shared" si="524"/>
        <v>25000</v>
      </c>
      <c r="V797" s="1">
        <f>U797-T797</f>
        <v>0</v>
      </c>
      <c r="W797" s="1">
        <f>T797+V797</f>
        <v>25000</v>
      </c>
      <c r="X797" s="41">
        <v>25000</v>
      </c>
      <c r="Y797" s="41">
        <f>X797-W797</f>
        <v>0</v>
      </c>
      <c r="Z797" s="1">
        <f>W797+Y797</f>
        <v>25000</v>
      </c>
      <c r="AA797" s="41">
        <v>25000</v>
      </c>
      <c r="AB797" s="41">
        <f t="shared" si="522"/>
        <v>0</v>
      </c>
      <c r="AC797" s="1">
        <f t="shared" si="523"/>
        <v>25000</v>
      </c>
      <c r="AD797" s="41">
        <v>25000</v>
      </c>
      <c r="AE797" s="1">
        <f t="shared" si="520"/>
        <v>0</v>
      </c>
      <c r="AF797" s="1">
        <f t="shared" si="521"/>
        <v>25000</v>
      </c>
    </row>
    <row r="798" spans="1:32">
      <c r="A798" s="13">
        <v>23111</v>
      </c>
      <c r="B798" s="11">
        <v>48903</v>
      </c>
      <c r="C798" s="11" t="s">
        <v>635</v>
      </c>
      <c r="D798" s="7">
        <v>0</v>
      </c>
      <c r="E798" s="7">
        <v>20000</v>
      </c>
      <c r="F798" s="7">
        <f>D798-E798</f>
        <v>-20000</v>
      </c>
      <c r="G798" s="7">
        <v>20000</v>
      </c>
      <c r="H798" s="7">
        <f>D798+G798</f>
        <v>20000</v>
      </c>
      <c r="I798" s="7">
        <v>18000</v>
      </c>
      <c r="J798" s="7">
        <f>H798-I798</f>
        <v>2000</v>
      </c>
      <c r="K798" s="7">
        <v>-2000</v>
      </c>
      <c r="L798" s="7">
        <v>18000</v>
      </c>
      <c r="M798" s="10">
        <v>-1500</v>
      </c>
      <c r="N798" s="7">
        <f>L798+M798</f>
        <v>16500</v>
      </c>
      <c r="O798" s="7"/>
      <c r="Q798" s="1">
        <f>N798+P798</f>
        <v>16500</v>
      </c>
      <c r="T798" s="1">
        <f t="shared" si="524"/>
        <v>16500</v>
      </c>
      <c r="U798" s="1">
        <f t="shared" si="524"/>
        <v>16500</v>
      </c>
      <c r="V798" s="1">
        <f>U798-T798</f>
        <v>0</v>
      </c>
      <c r="W798" s="1">
        <f>T798+V798</f>
        <v>16500</v>
      </c>
      <c r="X798" s="1">
        <v>16500</v>
      </c>
      <c r="Y798" s="41">
        <f>X798-W798</f>
        <v>0</v>
      </c>
      <c r="Z798" s="1">
        <f>W798+Y798</f>
        <v>16500</v>
      </c>
      <c r="AA798" s="1">
        <v>18000</v>
      </c>
      <c r="AB798" s="41">
        <f t="shared" si="522"/>
        <v>1500</v>
      </c>
      <c r="AC798" s="1">
        <f t="shared" si="523"/>
        <v>18000</v>
      </c>
      <c r="AD798" s="41">
        <v>18000</v>
      </c>
      <c r="AE798" s="1">
        <f t="shared" si="520"/>
        <v>0</v>
      </c>
      <c r="AF798" s="1">
        <f t="shared" si="521"/>
        <v>18000</v>
      </c>
    </row>
    <row r="799" spans="1:32">
      <c r="A799" s="11">
        <v>33400</v>
      </c>
      <c r="B799" s="11">
        <v>48903</v>
      </c>
      <c r="C799" s="11" t="s">
        <v>435</v>
      </c>
      <c r="D799" s="7">
        <v>7000</v>
      </c>
      <c r="E799" s="7"/>
      <c r="F799" s="7">
        <f>D799-E799</f>
        <v>7000</v>
      </c>
      <c r="G799" s="7"/>
      <c r="H799" s="7">
        <f>D799+G799</f>
        <v>7000</v>
      </c>
      <c r="I799" s="1"/>
      <c r="J799" s="1">
        <f>H799-I799</f>
        <v>7000</v>
      </c>
      <c r="K799" s="1"/>
      <c r="L799" s="1">
        <f>H799+K799</f>
        <v>7000</v>
      </c>
      <c r="M799" s="7">
        <v>-3700</v>
      </c>
      <c r="N799" s="1">
        <f>L799+M799</f>
        <v>3300</v>
      </c>
      <c r="O799" s="1"/>
      <c r="Q799" s="1">
        <f>N799+P799</f>
        <v>3300</v>
      </c>
      <c r="S799" s="1">
        <v>-1500</v>
      </c>
      <c r="T799" s="1">
        <f t="shared" si="524"/>
        <v>1800</v>
      </c>
      <c r="U799" s="1">
        <f t="shared" si="524"/>
        <v>1800</v>
      </c>
      <c r="V799" s="1">
        <f>U799-T799</f>
        <v>0</v>
      </c>
      <c r="W799" s="1">
        <f>T799+V799</f>
        <v>1800</v>
      </c>
      <c r="X799" s="1">
        <v>1800</v>
      </c>
      <c r="Y799" s="41">
        <f>X799-W799</f>
        <v>0</v>
      </c>
      <c r="Z799" s="1">
        <f>W799+Y799</f>
        <v>1800</v>
      </c>
      <c r="AA799" s="1">
        <v>1800</v>
      </c>
      <c r="AB799" s="1">
        <f t="shared" si="522"/>
        <v>0</v>
      </c>
      <c r="AC799" s="1">
        <f t="shared" si="523"/>
        <v>1800</v>
      </c>
      <c r="AD799" s="41">
        <v>1800</v>
      </c>
      <c r="AE799" s="1">
        <f t="shared" si="520"/>
        <v>0</v>
      </c>
      <c r="AF799" s="1">
        <f t="shared" si="521"/>
        <v>1800</v>
      </c>
    </row>
    <row r="800" spans="1:32">
      <c r="A800" s="13">
        <v>33800</v>
      </c>
      <c r="B800" s="11">
        <v>48903</v>
      </c>
      <c r="C800" s="11" t="s">
        <v>484</v>
      </c>
      <c r="D800" s="7">
        <v>36000</v>
      </c>
      <c r="E800" s="7"/>
      <c r="F800" s="7">
        <f>D800-E800</f>
        <v>36000</v>
      </c>
      <c r="G800" s="7"/>
      <c r="H800" s="7">
        <f>D800+G800</f>
        <v>36000</v>
      </c>
      <c r="I800" s="1"/>
      <c r="J800" s="1">
        <f>H800-I800</f>
        <v>36000</v>
      </c>
      <c r="K800" s="1"/>
      <c r="L800" s="1">
        <f>H800+K800</f>
        <v>36000</v>
      </c>
      <c r="M800" s="10">
        <v>-7200</v>
      </c>
      <c r="N800" s="1">
        <f>L800+M800</f>
        <v>28800</v>
      </c>
      <c r="O800" s="1"/>
      <c r="P800" s="1">
        <v>-2000</v>
      </c>
      <c r="Q800" s="1">
        <f>N800+P800</f>
        <v>26800</v>
      </c>
      <c r="T800" s="1">
        <f t="shared" si="524"/>
        <v>26800</v>
      </c>
      <c r="U800" s="1">
        <f t="shared" si="524"/>
        <v>26800</v>
      </c>
      <c r="V800" s="1">
        <f>U800-T800</f>
        <v>0</v>
      </c>
      <c r="W800" s="1">
        <f>T800+V800</f>
        <v>26800</v>
      </c>
      <c r="X800" s="1">
        <v>26800</v>
      </c>
      <c r="Y800" s="41">
        <f>X800-W800</f>
        <v>0</v>
      </c>
      <c r="Z800" s="1">
        <f>W800+Y800</f>
        <v>26800</v>
      </c>
      <c r="AA800" s="1">
        <v>30000</v>
      </c>
      <c r="AB800" s="1">
        <f t="shared" si="522"/>
        <v>3200</v>
      </c>
      <c r="AC800" s="1">
        <f t="shared" si="523"/>
        <v>30000</v>
      </c>
      <c r="AD800" s="41">
        <v>30000</v>
      </c>
      <c r="AE800" s="1">
        <f t="shared" si="520"/>
        <v>0</v>
      </c>
      <c r="AF800" s="1">
        <f t="shared" si="521"/>
        <v>30000</v>
      </c>
    </row>
    <row r="801" spans="1:16379" outlineLevel="2">
      <c r="A801" s="11">
        <v>34000</v>
      </c>
      <c r="B801" s="11">
        <v>48903</v>
      </c>
      <c r="C801" s="11" t="s">
        <v>891</v>
      </c>
      <c r="D801" s="7"/>
      <c r="E801" s="7"/>
      <c r="F801" s="7"/>
      <c r="G801" s="7"/>
      <c r="H801" s="7"/>
      <c r="I801" s="1"/>
      <c r="J801" s="1"/>
      <c r="K801" s="1"/>
      <c r="L801" s="1"/>
      <c r="N801" s="1"/>
      <c r="O801" s="1"/>
      <c r="T801" s="1"/>
      <c r="V801" s="1"/>
      <c r="W801" s="1"/>
      <c r="Y801" s="41"/>
      <c r="Z801" s="1">
        <v>0</v>
      </c>
      <c r="AA801" s="1">
        <v>10000</v>
      </c>
      <c r="AB801" s="1">
        <f t="shared" si="522"/>
        <v>10000</v>
      </c>
      <c r="AC801" s="1">
        <f t="shared" si="523"/>
        <v>10000</v>
      </c>
      <c r="AD801" s="41">
        <v>10000</v>
      </c>
      <c r="AE801" s="1">
        <f t="shared" si="520"/>
        <v>0</v>
      </c>
      <c r="AF801" s="1">
        <f t="shared" si="521"/>
        <v>10000</v>
      </c>
    </row>
    <row r="802" spans="1:16379">
      <c r="A802" s="13">
        <v>43200</v>
      </c>
      <c r="B802" s="11">
        <v>48903</v>
      </c>
      <c r="C802" s="11" t="s">
        <v>423</v>
      </c>
      <c r="D802" s="7">
        <v>30000</v>
      </c>
      <c r="E802" s="7"/>
      <c r="F802" s="7">
        <f>D802-E802</f>
        <v>30000</v>
      </c>
      <c r="G802" s="7"/>
      <c r="H802" s="7">
        <f>D802+G802</f>
        <v>30000</v>
      </c>
      <c r="I802" s="3"/>
      <c r="J802" s="1">
        <f>H802-I802</f>
        <v>30000</v>
      </c>
      <c r="K802" s="3"/>
      <c r="L802" s="1">
        <f>H802+K802</f>
        <v>30000</v>
      </c>
      <c r="M802" s="10">
        <v>-6000</v>
      </c>
      <c r="N802" s="1">
        <f>L802+M802</f>
        <v>24000</v>
      </c>
      <c r="O802" s="1"/>
      <c r="P802" s="16">
        <v>-6000</v>
      </c>
      <c r="Q802" s="1">
        <f>N802+P802</f>
        <v>18000</v>
      </c>
      <c r="R802" s="3"/>
      <c r="S802" s="16"/>
      <c r="T802" s="1">
        <f>Q802+S802</f>
        <v>18000</v>
      </c>
      <c r="U802" s="1">
        <f>R802+T802</f>
        <v>18000</v>
      </c>
      <c r="V802" s="1">
        <f>U802-T802</f>
        <v>0</v>
      </c>
      <c r="W802" s="1">
        <f>T802+V802</f>
        <v>18000</v>
      </c>
      <c r="X802" s="41">
        <v>21500</v>
      </c>
      <c r="Y802" s="41">
        <f>X802-W802</f>
        <v>3500</v>
      </c>
      <c r="Z802" s="1">
        <f>W802+Y802</f>
        <v>21500</v>
      </c>
      <c r="AA802" s="41">
        <v>18000</v>
      </c>
      <c r="AB802" s="41">
        <f t="shared" si="522"/>
        <v>-3500</v>
      </c>
      <c r="AC802" s="1">
        <f t="shared" si="523"/>
        <v>18000</v>
      </c>
      <c r="AD802" s="41">
        <v>18000</v>
      </c>
      <c r="AE802" s="1">
        <f t="shared" si="520"/>
        <v>0</v>
      </c>
      <c r="AF802" s="1">
        <f t="shared" si="521"/>
        <v>18000</v>
      </c>
    </row>
    <row r="803" spans="1:16379">
      <c r="A803" s="13">
        <v>43200</v>
      </c>
      <c r="B803" s="11">
        <v>48904</v>
      </c>
      <c r="C803" s="11" t="s">
        <v>641</v>
      </c>
      <c r="D803" s="7"/>
      <c r="E803" s="7"/>
      <c r="F803" s="7"/>
      <c r="G803" s="7"/>
      <c r="H803" s="7"/>
      <c r="I803" s="3"/>
      <c r="J803" s="1"/>
      <c r="K803" s="3"/>
      <c r="L803" s="1">
        <v>0</v>
      </c>
      <c r="M803" s="10">
        <v>15000</v>
      </c>
      <c r="N803" s="1">
        <f>L803+M803</f>
        <v>15000</v>
      </c>
      <c r="O803" s="1"/>
      <c r="P803" s="16">
        <v>-5000</v>
      </c>
      <c r="Q803" s="1">
        <f>N803+P803</f>
        <v>10000</v>
      </c>
      <c r="R803" s="3"/>
      <c r="S803" s="16"/>
      <c r="T803" s="1">
        <f>Q803+S803</f>
        <v>10000</v>
      </c>
      <c r="U803" s="1">
        <f>R803+T803</f>
        <v>10000</v>
      </c>
      <c r="V803" s="1">
        <f>U803-T803</f>
        <v>0</v>
      </c>
      <c r="W803" s="1">
        <f>T803+V803</f>
        <v>10000</v>
      </c>
      <c r="X803" s="41">
        <v>10000</v>
      </c>
      <c r="Y803" s="41">
        <f>X803-W803</f>
        <v>0</v>
      </c>
      <c r="Z803" s="1">
        <f>W803+Y803</f>
        <v>10000</v>
      </c>
      <c r="AA803" s="41">
        <v>10000</v>
      </c>
      <c r="AB803" s="41">
        <f t="shared" si="522"/>
        <v>0</v>
      </c>
      <c r="AC803" s="1">
        <f t="shared" si="523"/>
        <v>10000</v>
      </c>
      <c r="AD803" s="41">
        <v>10000</v>
      </c>
      <c r="AE803" s="1">
        <f t="shared" si="520"/>
        <v>0</v>
      </c>
      <c r="AF803" s="1">
        <f t="shared" si="521"/>
        <v>10000</v>
      </c>
    </row>
    <row r="804" spans="1:16379">
      <c r="A804" s="71"/>
      <c r="B804" s="71"/>
      <c r="C804" s="71" t="s">
        <v>871</v>
      </c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>
        <f>SUM(AC751:AC803)</f>
        <v>3742442.92</v>
      </c>
      <c r="AD804" s="72">
        <f t="shared" ref="AD804:AF804" si="525">SUM(AD751:AD803)</f>
        <v>4690565.8609999996</v>
      </c>
      <c r="AE804" s="72">
        <f t="shared" si="525"/>
        <v>948122.94099999999</v>
      </c>
      <c r="AF804" s="72">
        <f t="shared" si="525"/>
        <v>4690565.8609999996</v>
      </c>
    </row>
    <row r="805" spans="1:16379">
      <c r="A805" s="11">
        <v>92910</v>
      </c>
      <c r="B805" s="11">
        <v>50000</v>
      </c>
      <c r="C805" s="11" t="s">
        <v>659</v>
      </c>
      <c r="D805" s="45"/>
      <c r="E805" s="45"/>
      <c r="F805" s="45"/>
      <c r="G805" s="45"/>
      <c r="H805" s="45"/>
      <c r="I805" s="46"/>
      <c r="J805" s="45"/>
      <c r="K805" s="46"/>
      <c r="L805" s="45"/>
      <c r="M805" s="45"/>
      <c r="N805" s="45">
        <v>0</v>
      </c>
      <c r="O805" s="45"/>
      <c r="P805" s="45">
        <v>200000</v>
      </c>
      <c r="Q805" s="45">
        <v>0</v>
      </c>
      <c r="R805" s="45">
        <v>200000</v>
      </c>
      <c r="S805" s="45">
        <f>R805-Q805</f>
        <v>200000</v>
      </c>
      <c r="T805" s="45">
        <f>Q805+S805</f>
        <v>200000</v>
      </c>
      <c r="U805" s="1">
        <v>200000</v>
      </c>
      <c r="V805" s="1">
        <f>U805-T805</f>
        <v>0</v>
      </c>
      <c r="W805" s="1">
        <f>T805+V805</f>
        <v>200000</v>
      </c>
      <c r="X805" s="1">
        <v>651595.57999999996</v>
      </c>
      <c r="Y805" s="41">
        <f>X805-W805</f>
        <v>451595.57999999996</v>
      </c>
      <c r="Z805" s="1">
        <f>W805+Y805</f>
        <v>651595.57999999996</v>
      </c>
      <c r="AA805" s="1">
        <v>200000</v>
      </c>
      <c r="AB805" s="1">
        <f>AA805-Z805</f>
        <v>-451595.57999999996</v>
      </c>
      <c r="AC805" s="1">
        <f>Z805+AB805</f>
        <v>200000</v>
      </c>
      <c r="AD805" s="41">
        <v>100000</v>
      </c>
      <c r="AE805" s="1">
        <f>AD805-AC805</f>
        <v>-100000</v>
      </c>
      <c r="AF805" s="1">
        <f>AC805+AE805</f>
        <v>100000</v>
      </c>
    </row>
    <row r="806" spans="1:16379">
      <c r="A806" s="71"/>
      <c r="B806" s="71"/>
      <c r="C806" s="71" t="s">
        <v>872</v>
      </c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>
        <f>SUM(AC805)</f>
        <v>200000</v>
      </c>
      <c r="AD806" s="72">
        <f t="shared" ref="AD806:AF806" si="526">SUM(AD805)</f>
        <v>100000</v>
      </c>
      <c r="AE806" s="72">
        <f t="shared" si="526"/>
        <v>-100000</v>
      </c>
      <c r="AF806" s="72">
        <f t="shared" si="526"/>
        <v>100000</v>
      </c>
    </row>
    <row r="807" spans="1:16379">
      <c r="A807" s="11">
        <v>15100</v>
      </c>
      <c r="B807" s="11">
        <v>60000</v>
      </c>
      <c r="C807" s="39" t="s">
        <v>685</v>
      </c>
      <c r="D807" s="7"/>
      <c r="E807" s="7"/>
      <c r="F807" s="7"/>
      <c r="G807" s="7"/>
      <c r="H807" s="7"/>
      <c r="I807" s="1"/>
      <c r="J807" s="1"/>
      <c r="K807" s="1"/>
      <c r="L807" s="1"/>
      <c r="N807" s="1"/>
      <c r="O807" s="1"/>
      <c r="T807" s="1">
        <v>0</v>
      </c>
      <c r="U807" s="1">
        <v>1850000</v>
      </c>
      <c r="V807" s="1">
        <f>U807-T807</f>
        <v>1850000</v>
      </c>
      <c r="W807" s="1">
        <f>T807+V807</f>
        <v>1850000</v>
      </c>
      <c r="X807" s="1">
        <f>1600000</f>
        <v>1600000</v>
      </c>
      <c r="Y807" s="41">
        <f>X807-W807</f>
        <v>-250000</v>
      </c>
      <c r="Z807" s="1">
        <f>W807+Y807</f>
        <v>1600000</v>
      </c>
      <c r="AA807" s="1">
        <v>1250000</v>
      </c>
      <c r="AB807" s="1">
        <f>AA807-Z807</f>
        <v>-350000</v>
      </c>
      <c r="AC807" s="1">
        <f>Z807+AB807</f>
        <v>1250000</v>
      </c>
      <c r="AD807" s="41">
        <v>0</v>
      </c>
      <c r="AE807" s="1">
        <f t="shared" ref="AE807:BF851" si="527">AD807-AC807</f>
        <v>-1250000</v>
      </c>
      <c r="AF807" s="1">
        <f t="shared" ref="AF807:BG851" si="528">AC807+AE807</f>
        <v>0</v>
      </c>
    </row>
    <row r="808" spans="1:16379">
      <c r="A808" s="13">
        <v>43200</v>
      </c>
      <c r="B808" s="11">
        <v>60100</v>
      </c>
      <c r="C808" s="11" t="s">
        <v>644</v>
      </c>
      <c r="D808" s="7"/>
      <c r="E808" s="7"/>
      <c r="F808" s="7"/>
      <c r="G808" s="7"/>
      <c r="H808" s="7"/>
      <c r="I808" s="3"/>
      <c r="J808" s="1"/>
      <c r="K808" s="3"/>
      <c r="L808" s="1">
        <v>0</v>
      </c>
      <c r="M808" s="10">
        <v>60000</v>
      </c>
      <c r="N808" s="1">
        <f>L808+M808</f>
        <v>60000</v>
      </c>
      <c r="O808" s="1"/>
      <c r="P808" s="16">
        <v>-60000</v>
      </c>
      <c r="Q808" s="1">
        <f>N808+P808</f>
        <v>0</v>
      </c>
      <c r="R808" s="3"/>
      <c r="S808" s="16"/>
      <c r="T808" s="1">
        <f>Q808+S808</f>
        <v>0</v>
      </c>
      <c r="U808" s="3"/>
      <c r="V808" s="1">
        <f>U808-T808</f>
        <v>0</v>
      </c>
      <c r="W808" s="1">
        <f>T808+V808</f>
        <v>0</v>
      </c>
      <c r="X808" s="41">
        <v>0</v>
      </c>
      <c r="Y808" s="41">
        <f>X808-W808</f>
        <v>0</v>
      </c>
      <c r="Z808" s="1">
        <f>W808+Y808</f>
        <v>0</v>
      </c>
      <c r="AA808" s="41">
        <v>0</v>
      </c>
      <c r="AB808" s="41">
        <f>AA808-Z808</f>
        <v>0</v>
      </c>
      <c r="AC808" s="1">
        <f>Z808+AB808</f>
        <v>0</v>
      </c>
      <c r="AD808" s="41">
        <v>0</v>
      </c>
      <c r="AE808" s="1">
        <f t="shared" si="527"/>
        <v>0</v>
      </c>
      <c r="AF808" s="1">
        <f t="shared" si="528"/>
        <v>0</v>
      </c>
    </row>
    <row r="809" spans="1:16379">
      <c r="A809" s="11">
        <v>15100</v>
      </c>
      <c r="B809" s="11">
        <v>60900</v>
      </c>
      <c r="C809" s="42" t="s">
        <v>793</v>
      </c>
      <c r="D809" s="7"/>
      <c r="E809" s="7"/>
      <c r="F809" s="7"/>
      <c r="G809" s="7"/>
      <c r="H809" s="7"/>
      <c r="I809" s="1"/>
      <c r="J809" s="1"/>
      <c r="K809" s="1"/>
      <c r="L809" s="1"/>
      <c r="N809" s="1"/>
      <c r="O809" s="1"/>
      <c r="Q809" s="1">
        <v>0</v>
      </c>
      <c r="R809" s="1">
        <v>18000</v>
      </c>
      <c r="S809" s="1">
        <f>R809-Q809</f>
        <v>18000</v>
      </c>
      <c r="T809" s="1">
        <f>Q809+S809</f>
        <v>18000</v>
      </c>
      <c r="U809" s="1">
        <v>0</v>
      </c>
      <c r="V809" s="1">
        <f>U809-T809</f>
        <v>-18000</v>
      </c>
      <c r="W809" s="1">
        <f>T809+V809</f>
        <v>0</v>
      </c>
      <c r="X809" s="1">
        <v>45302.400000000001</v>
      </c>
      <c r="Y809" s="41">
        <f>X809-W809</f>
        <v>45302.400000000001</v>
      </c>
      <c r="Z809" s="1">
        <f>W809+Y809</f>
        <v>45302.400000000001</v>
      </c>
      <c r="AA809" s="1">
        <f>60000+24000+100000+20000+12000+40000</f>
        <v>256000</v>
      </c>
      <c r="AB809" s="1">
        <f>AA809-Z809</f>
        <v>210697.60000000001</v>
      </c>
      <c r="AC809" s="1">
        <f>Z809+AB809</f>
        <v>256000</v>
      </c>
      <c r="AD809" s="41">
        <f>241528.69+132425+33305+20000</f>
        <v>427258.69</v>
      </c>
      <c r="AE809" s="1">
        <f t="shared" si="527"/>
        <v>171258.69</v>
      </c>
      <c r="AF809" s="1">
        <f t="shared" si="528"/>
        <v>427258.69</v>
      </c>
    </row>
    <row r="810" spans="1:16379">
      <c r="A810" s="11">
        <v>15320</v>
      </c>
      <c r="B810" s="11">
        <v>60900</v>
      </c>
      <c r="C810" s="42" t="s">
        <v>937</v>
      </c>
      <c r="D810" s="7"/>
      <c r="E810" s="7"/>
      <c r="F810" s="7"/>
      <c r="G810" s="7"/>
      <c r="H810" s="7"/>
      <c r="I810" s="1"/>
      <c r="J810" s="1"/>
      <c r="K810" s="1"/>
      <c r="L810" s="1"/>
      <c r="N810" s="1"/>
      <c r="O810" s="1"/>
      <c r="T810" s="1"/>
      <c r="V810" s="1"/>
      <c r="W810" s="1"/>
      <c r="Y810" s="41"/>
      <c r="Z810" s="1"/>
      <c r="AB810" s="1"/>
      <c r="AC810" s="1">
        <v>100302.53</v>
      </c>
      <c r="AD810" s="41">
        <f>13095.23+544.5+254739.02+225000</f>
        <v>493378.75</v>
      </c>
      <c r="AE810" s="1">
        <f t="shared" si="527"/>
        <v>393076.22</v>
      </c>
      <c r="AF810" s="1">
        <f t="shared" si="528"/>
        <v>493378.75</v>
      </c>
      <c r="AG810" s="7"/>
      <c r="AH810" s="7"/>
      <c r="AI810" s="7"/>
      <c r="AJ810" s="1"/>
      <c r="AK810" s="1"/>
      <c r="AL810" s="1"/>
      <c r="AM810" s="1"/>
      <c r="AN810" s="7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41"/>
      <c r="BA810" s="1"/>
      <c r="BB810" s="1"/>
      <c r="BC810" s="1"/>
      <c r="BD810" s="1">
        <v>100302.53</v>
      </c>
      <c r="BE810" s="41">
        <f>13095.23+544.5+254739.02</f>
        <v>268378.75</v>
      </c>
      <c r="BF810" s="1">
        <f t="shared" si="527"/>
        <v>168076.22</v>
      </c>
      <c r="BG810" s="1">
        <f t="shared" si="528"/>
        <v>268378.75</v>
      </c>
      <c r="BH810" s="11">
        <v>15320</v>
      </c>
      <c r="BI810" s="11">
        <v>60900</v>
      </c>
      <c r="BJ810" s="42" t="s">
        <v>937</v>
      </c>
      <c r="BK810" s="7"/>
      <c r="BL810" s="7"/>
      <c r="BM810" s="7"/>
      <c r="BN810" s="7"/>
      <c r="BO810" s="7"/>
      <c r="BP810" s="1"/>
      <c r="BQ810" s="1"/>
      <c r="BR810" s="1"/>
      <c r="BS810" s="1"/>
      <c r="BT810" s="7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41"/>
      <c r="CG810" s="1"/>
      <c r="CH810" s="1"/>
      <c r="CI810" s="1"/>
      <c r="CJ810" s="1">
        <v>100302.53</v>
      </c>
      <c r="CK810" s="41">
        <f>13095.23+544.5+254739.02</f>
        <v>268378.75</v>
      </c>
      <c r="CL810" s="1">
        <f t="shared" ref="CL810:DR810" si="529">CK810-CJ810</f>
        <v>168076.22</v>
      </c>
      <c r="CM810" s="1">
        <f t="shared" ref="CM810:DS810" si="530">CJ810+CL810</f>
        <v>268378.75</v>
      </c>
      <c r="CN810" s="11">
        <v>15320</v>
      </c>
      <c r="CO810" s="11">
        <v>60900</v>
      </c>
      <c r="CP810" s="42" t="s">
        <v>937</v>
      </c>
      <c r="CQ810" s="7"/>
      <c r="CR810" s="7"/>
      <c r="CS810" s="7"/>
      <c r="CT810" s="7"/>
      <c r="CU810" s="7"/>
      <c r="CV810" s="1"/>
      <c r="CW810" s="1"/>
      <c r="CX810" s="1"/>
      <c r="CY810" s="1"/>
      <c r="CZ810" s="7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41"/>
      <c r="DM810" s="1"/>
      <c r="DN810" s="1"/>
      <c r="DO810" s="1"/>
      <c r="DP810" s="1">
        <v>100302.53</v>
      </c>
      <c r="DQ810" s="41">
        <f>13095.23+544.5+254739.02</f>
        <v>268378.75</v>
      </c>
      <c r="DR810" s="1">
        <f t="shared" si="529"/>
        <v>168076.22</v>
      </c>
      <c r="DS810" s="1">
        <f t="shared" si="530"/>
        <v>268378.75</v>
      </c>
      <c r="DT810" s="11">
        <v>15320</v>
      </c>
      <c r="DU810" s="11">
        <v>60900</v>
      </c>
      <c r="DV810" s="42" t="s">
        <v>937</v>
      </c>
      <c r="DW810" s="7"/>
      <c r="DX810" s="7"/>
      <c r="DY810" s="7"/>
      <c r="DZ810" s="7"/>
      <c r="EA810" s="7"/>
      <c r="EB810" s="1"/>
      <c r="EC810" s="1"/>
      <c r="ED810" s="1"/>
      <c r="EE810" s="1"/>
      <c r="EF810" s="7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41"/>
      <c r="ES810" s="1"/>
      <c r="ET810" s="1"/>
      <c r="EU810" s="1"/>
      <c r="EV810" s="1">
        <v>100302.53</v>
      </c>
      <c r="EW810" s="41">
        <f>13095.23+544.5+254739.02</f>
        <v>268378.75</v>
      </c>
      <c r="EX810" s="1">
        <f t="shared" ref="EX810:GD810" si="531">EW810-EV810</f>
        <v>168076.22</v>
      </c>
      <c r="EY810" s="1">
        <f t="shared" ref="EY810:GE810" si="532">EV810+EX810</f>
        <v>268378.75</v>
      </c>
      <c r="EZ810" s="11">
        <v>15320</v>
      </c>
      <c r="FA810" s="11">
        <v>60900</v>
      </c>
      <c r="FB810" s="42" t="s">
        <v>937</v>
      </c>
      <c r="FC810" s="7"/>
      <c r="FD810" s="7"/>
      <c r="FE810" s="7"/>
      <c r="FF810" s="7"/>
      <c r="FG810" s="7"/>
      <c r="FH810" s="1"/>
      <c r="FI810" s="1"/>
      <c r="FJ810" s="1"/>
      <c r="FK810" s="1"/>
      <c r="FL810" s="7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41"/>
      <c r="FY810" s="1"/>
      <c r="FZ810" s="1"/>
      <c r="GA810" s="1"/>
      <c r="GB810" s="1">
        <v>100302.53</v>
      </c>
      <c r="GC810" s="41">
        <f>13095.23+544.5+254739.02</f>
        <v>268378.75</v>
      </c>
      <c r="GD810" s="1">
        <f t="shared" si="531"/>
        <v>168076.22</v>
      </c>
      <c r="GE810" s="1">
        <f t="shared" si="532"/>
        <v>268378.75</v>
      </c>
      <c r="GF810" s="11">
        <v>15320</v>
      </c>
      <c r="GG810" s="11">
        <v>60900</v>
      </c>
      <c r="GH810" s="42" t="s">
        <v>937</v>
      </c>
      <c r="GI810" s="7"/>
      <c r="GJ810" s="7"/>
      <c r="GK810" s="7"/>
      <c r="GL810" s="7"/>
      <c r="GM810" s="7"/>
      <c r="GN810" s="1"/>
      <c r="GO810" s="1"/>
      <c r="GP810" s="1"/>
      <c r="GQ810" s="1"/>
      <c r="GR810" s="7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41"/>
      <c r="HE810" s="1"/>
      <c r="HF810" s="1"/>
      <c r="HG810" s="1"/>
      <c r="HH810" s="1">
        <v>100302.53</v>
      </c>
      <c r="HI810" s="41">
        <f>13095.23+544.5+254739.02</f>
        <v>268378.75</v>
      </c>
      <c r="HJ810" s="1">
        <f t="shared" ref="HJ810:IP810" si="533">HI810-HH810</f>
        <v>168076.22</v>
      </c>
      <c r="HK810" s="1">
        <f t="shared" ref="HK810:IQ810" si="534">HH810+HJ810</f>
        <v>268378.75</v>
      </c>
      <c r="HL810" s="11">
        <v>15320</v>
      </c>
      <c r="HM810" s="11">
        <v>60900</v>
      </c>
      <c r="HN810" s="42" t="s">
        <v>937</v>
      </c>
      <c r="HO810" s="7"/>
      <c r="HP810" s="7"/>
      <c r="HQ810" s="7"/>
      <c r="HR810" s="7"/>
      <c r="HS810" s="7"/>
      <c r="HT810" s="1"/>
      <c r="HU810" s="1"/>
      <c r="HV810" s="1"/>
      <c r="HW810" s="1"/>
      <c r="HX810" s="7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41"/>
      <c r="IK810" s="1"/>
      <c r="IL810" s="1"/>
      <c r="IM810" s="1"/>
      <c r="IN810" s="1">
        <v>100302.53</v>
      </c>
      <c r="IO810" s="41">
        <f>13095.23+544.5+254739.02</f>
        <v>268378.75</v>
      </c>
      <c r="IP810" s="1">
        <f t="shared" si="533"/>
        <v>168076.22</v>
      </c>
      <c r="IQ810" s="1">
        <f t="shared" si="534"/>
        <v>268378.75</v>
      </c>
      <c r="IR810" s="11">
        <v>15320</v>
      </c>
      <c r="IS810" s="11">
        <v>60900</v>
      </c>
      <c r="IT810" s="42" t="s">
        <v>937</v>
      </c>
      <c r="IU810" s="7"/>
      <c r="IV810" s="7"/>
      <c r="IW810" s="7"/>
      <c r="IX810" s="7"/>
      <c r="IY810" s="7"/>
      <c r="IZ810" s="1"/>
      <c r="JA810" s="1"/>
      <c r="JB810" s="1"/>
      <c r="JC810" s="1"/>
      <c r="JD810" s="7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41"/>
      <c r="JQ810" s="1"/>
      <c r="JR810" s="1"/>
      <c r="JS810" s="1"/>
      <c r="JT810" s="1">
        <v>100302.53</v>
      </c>
      <c r="JU810" s="41">
        <f>13095.23+544.5+254739.02</f>
        <v>268378.75</v>
      </c>
      <c r="JV810" s="1">
        <f t="shared" ref="JV810:LB810" si="535">JU810-JT810</f>
        <v>168076.22</v>
      </c>
      <c r="JW810" s="1">
        <f t="shared" ref="JW810:LC810" si="536">JT810+JV810</f>
        <v>268378.75</v>
      </c>
      <c r="JX810" s="11">
        <v>15320</v>
      </c>
      <c r="JY810" s="11">
        <v>60900</v>
      </c>
      <c r="JZ810" s="42" t="s">
        <v>937</v>
      </c>
      <c r="KA810" s="7"/>
      <c r="KB810" s="7"/>
      <c r="KC810" s="7"/>
      <c r="KD810" s="7"/>
      <c r="KE810" s="7"/>
      <c r="KF810" s="1"/>
      <c r="KG810" s="1"/>
      <c r="KH810" s="1"/>
      <c r="KI810" s="1"/>
      <c r="KJ810" s="7"/>
      <c r="KK810" s="1"/>
      <c r="KL810" s="1"/>
      <c r="KM810" s="1"/>
      <c r="KN810" s="1"/>
      <c r="KO810" s="1"/>
      <c r="KP810" s="1"/>
      <c r="KQ810" s="1"/>
      <c r="KR810" s="1"/>
      <c r="KS810" s="1"/>
      <c r="KT810" s="1"/>
      <c r="KU810" s="1"/>
      <c r="KV810" s="41"/>
      <c r="KW810" s="1"/>
      <c r="KX810" s="1"/>
      <c r="KY810" s="1"/>
      <c r="KZ810" s="1">
        <v>100302.53</v>
      </c>
      <c r="LA810" s="41">
        <f>13095.23+544.5+254739.02</f>
        <v>268378.75</v>
      </c>
      <c r="LB810" s="1">
        <f t="shared" si="535"/>
        <v>168076.22</v>
      </c>
      <c r="LC810" s="1">
        <f t="shared" si="536"/>
        <v>268378.75</v>
      </c>
      <c r="LD810" s="11">
        <v>15320</v>
      </c>
      <c r="LE810" s="11">
        <v>60900</v>
      </c>
      <c r="LF810" s="42" t="s">
        <v>937</v>
      </c>
      <c r="LG810" s="7"/>
      <c r="LH810" s="7"/>
      <c r="LI810" s="7"/>
      <c r="LJ810" s="7"/>
      <c r="LK810" s="7"/>
      <c r="LL810" s="1"/>
      <c r="LM810" s="1"/>
      <c r="LN810" s="1"/>
      <c r="LO810" s="1"/>
      <c r="LP810" s="7"/>
      <c r="LQ810" s="1"/>
      <c r="LR810" s="1"/>
      <c r="LS810" s="1"/>
      <c r="LT810" s="1"/>
      <c r="LU810" s="1"/>
      <c r="LV810" s="1"/>
      <c r="LW810" s="1"/>
      <c r="LX810" s="1"/>
      <c r="LY810" s="1"/>
      <c r="LZ810" s="1"/>
      <c r="MA810" s="1"/>
      <c r="MB810" s="41"/>
      <c r="MC810" s="1"/>
      <c r="MD810" s="1"/>
      <c r="ME810" s="1"/>
      <c r="MF810" s="1">
        <v>100302.53</v>
      </c>
      <c r="MG810" s="41">
        <f>13095.23+544.5+254739.02</f>
        <v>268378.75</v>
      </c>
      <c r="MH810" s="1">
        <f t="shared" ref="MH810:NN810" si="537">MG810-MF810</f>
        <v>168076.22</v>
      </c>
      <c r="MI810" s="1">
        <f t="shared" ref="MI810:NO810" si="538">MF810+MH810</f>
        <v>268378.75</v>
      </c>
      <c r="MJ810" s="11">
        <v>15320</v>
      </c>
      <c r="MK810" s="11">
        <v>60900</v>
      </c>
      <c r="ML810" s="42" t="s">
        <v>937</v>
      </c>
      <c r="MM810" s="7"/>
      <c r="MN810" s="7"/>
      <c r="MO810" s="7"/>
      <c r="MP810" s="7"/>
      <c r="MQ810" s="7"/>
      <c r="MR810" s="1"/>
      <c r="MS810" s="1"/>
      <c r="MT810" s="1"/>
      <c r="MU810" s="1"/>
      <c r="MV810" s="7"/>
      <c r="MW810" s="1"/>
      <c r="MX810" s="1"/>
      <c r="MY810" s="1"/>
      <c r="MZ810" s="1"/>
      <c r="NA810" s="1"/>
      <c r="NB810" s="1"/>
      <c r="NC810" s="1"/>
      <c r="ND810" s="1"/>
      <c r="NE810" s="1"/>
      <c r="NF810" s="1"/>
      <c r="NG810" s="1"/>
      <c r="NH810" s="41"/>
      <c r="NI810" s="1"/>
      <c r="NJ810" s="1"/>
      <c r="NK810" s="1"/>
      <c r="NL810" s="1">
        <v>100302.53</v>
      </c>
      <c r="NM810" s="41">
        <f>13095.23+544.5+254739.02</f>
        <v>268378.75</v>
      </c>
      <c r="NN810" s="1">
        <f t="shared" si="537"/>
        <v>168076.22</v>
      </c>
      <c r="NO810" s="1">
        <f t="shared" si="538"/>
        <v>268378.75</v>
      </c>
      <c r="NP810" s="11">
        <v>15320</v>
      </c>
      <c r="NQ810" s="11">
        <v>60900</v>
      </c>
      <c r="NR810" s="42" t="s">
        <v>937</v>
      </c>
      <c r="NS810" s="7"/>
      <c r="NT810" s="7"/>
      <c r="NU810" s="7"/>
      <c r="NV810" s="7"/>
      <c r="NW810" s="7"/>
      <c r="NX810" s="1"/>
      <c r="NY810" s="1"/>
      <c r="NZ810" s="1"/>
      <c r="OA810" s="1"/>
      <c r="OB810" s="7"/>
      <c r="OC810" s="1"/>
      <c r="OD810" s="1"/>
      <c r="OE810" s="1"/>
      <c r="OF810" s="1"/>
      <c r="OG810" s="1"/>
      <c r="OH810" s="1"/>
      <c r="OI810" s="1"/>
      <c r="OJ810" s="1"/>
      <c r="OK810" s="1"/>
      <c r="OL810" s="1"/>
      <c r="OM810" s="1"/>
      <c r="ON810" s="41"/>
      <c r="OO810" s="1"/>
      <c r="OP810" s="1"/>
      <c r="OQ810" s="1"/>
      <c r="OR810" s="1">
        <v>100302.53</v>
      </c>
      <c r="OS810" s="41">
        <f>13095.23+544.5+254739.02</f>
        <v>268378.75</v>
      </c>
      <c r="OT810" s="1">
        <f t="shared" ref="OT810:PZ810" si="539">OS810-OR810</f>
        <v>168076.22</v>
      </c>
      <c r="OU810" s="1">
        <f t="shared" ref="OU810:QA810" si="540">OR810+OT810</f>
        <v>268378.75</v>
      </c>
      <c r="OV810" s="11">
        <v>15320</v>
      </c>
      <c r="OW810" s="11">
        <v>60900</v>
      </c>
      <c r="OX810" s="42" t="s">
        <v>937</v>
      </c>
      <c r="OY810" s="7"/>
      <c r="OZ810" s="7"/>
      <c r="PA810" s="7"/>
      <c r="PB810" s="7"/>
      <c r="PC810" s="7"/>
      <c r="PD810" s="1"/>
      <c r="PE810" s="1"/>
      <c r="PF810" s="1"/>
      <c r="PG810" s="1"/>
      <c r="PH810" s="7"/>
      <c r="PI810" s="1"/>
      <c r="PJ810" s="1"/>
      <c r="PK810" s="1"/>
      <c r="PL810" s="1"/>
      <c r="PM810" s="1"/>
      <c r="PN810" s="1"/>
      <c r="PO810" s="1"/>
      <c r="PP810" s="1"/>
      <c r="PQ810" s="1"/>
      <c r="PR810" s="1"/>
      <c r="PS810" s="1"/>
      <c r="PT810" s="41"/>
      <c r="PU810" s="1"/>
      <c r="PV810" s="1"/>
      <c r="PW810" s="1"/>
      <c r="PX810" s="1">
        <v>100302.53</v>
      </c>
      <c r="PY810" s="41">
        <f>13095.23+544.5+254739.02</f>
        <v>268378.75</v>
      </c>
      <c r="PZ810" s="1">
        <f t="shared" si="539"/>
        <v>168076.22</v>
      </c>
      <c r="QA810" s="1">
        <f t="shared" si="540"/>
        <v>268378.75</v>
      </c>
      <c r="QB810" s="11">
        <v>15320</v>
      </c>
      <c r="QC810" s="11">
        <v>60900</v>
      </c>
      <c r="QD810" s="42" t="s">
        <v>937</v>
      </c>
      <c r="QE810" s="7"/>
      <c r="QF810" s="7"/>
      <c r="QG810" s="7"/>
      <c r="QH810" s="7"/>
      <c r="QI810" s="7"/>
      <c r="QJ810" s="1"/>
      <c r="QK810" s="1"/>
      <c r="QL810" s="1"/>
      <c r="QM810" s="1"/>
      <c r="QN810" s="7"/>
      <c r="QO810" s="1"/>
      <c r="QP810" s="1"/>
      <c r="QQ810" s="1"/>
      <c r="QR810" s="1"/>
      <c r="QS810" s="1"/>
      <c r="QT810" s="1"/>
      <c r="QU810" s="1"/>
      <c r="QV810" s="1"/>
      <c r="QW810" s="1"/>
      <c r="QX810" s="1"/>
      <c r="QY810" s="1"/>
      <c r="QZ810" s="41"/>
      <c r="RA810" s="1"/>
      <c r="RB810" s="1"/>
      <c r="RC810" s="1"/>
      <c r="RD810" s="1">
        <v>100302.53</v>
      </c>
      <c r="RE810" s="41">
        <f>13095.23+544.5+254739.02</f>
        <v>268378.75</v>
      </c>
      <c r="RF810" s="1">
        <f t="shared" ref="RF810:SL810" si="541">RE810-RD810</f>
        <v>168076.22</v>
      </c>
      <c r="RG810" s="1">
        <f t="shared" ref="RG810:SM810" si="542">RD810+RF810</f>
        <v>268378.75</v>
      </c>
      <c r="RH810" s="11">
        <v>15320</v>
      </c>
      <c r="RI810" s="11">
        <v>60900</v>
      </c>
      <c r="RJ810" s="42" t="s">
        <v>937</v>
      </c>
      <c r="RK810" s="7"/>
      <c r="RL810" s="7"/>
      <c r="RM810" s="7"/>
      <c r="RN810" s="7"/>
      <c r="RO810" s="7"/>
      <c r="RP810" s="1"/>
      <c r="RQ810" s="1"/>
      <c r="RR810" s="1"/>
      <c r="RS810" s="1"/>
      <c r="RT810" s="7"/>
      <c r="RU810" s="1"/>
      <c r="RV810" s="1"/>
      <c r="RW810" s="1"/>
      <c r="RX810" s="1"/>
      <c r="RY810" s="1"/>
      <c r="RZ810" s="1"/>
      <c r="SA810" s="1"/>
      <c r="SB810" s="1"/>
      <c r="SC810" s="1"/>
      <c r="SD810" s="1"/>
      <c r="SE810" s="1"/>
      <c r="SF810" s="41"/>
      <c r="SG810" s="1"/>
      <c r="SH810" s="1"/>
      <c r="SI810" s="1"/>
      <c r="SJ810" s="1">
        <v>100302.53</v>
      </c>
      <c r="SK810" s="41">
        <f>13095.23+544.5+254739.02</f>
        <v>268378.75</v>
      </c>
      <c r="SL810" s="1">
        <f t="shared" si="541"/>
        <v>168076.22</v>
      </c>
      <c r="SM810" s="1">
        <f t="shared" si="542"/>
        <v>268378.75</v>
      </c>
      <c r="SN810" s="11">
        <v>15320</v>
      </c>
      <c r="SO810" s="11">
        <v>60900</v>
      </c>
      <c r="SP810" s="42" t="s">
        <v>937</v>
      </c>
      <c r="SQ810" s="7"/>
      <c r="SR810" s="7"/>
      <c r="SS810" s="7"/>
      <c r="ST810" s="7"/>
      <c r="SU810" s="7"/>
      <c r="SV810" s="1"/>
      <c r="SW810" s="1"/>
      <c r="SX810" s="1"/>
      <c r="SY810" s="1"/>
      <c r="SZ810" s="7"/>
      <c r="TA810" s="1"/>
      <c r="TB810" s="1"/>
      <c r="TC810" s="1"/>
      <c r="TD810" s="1"/>
      <c r="TE810" s="1"/>
      <c r="TF810" s="1"/>
      <c r="TG810" s="1"/>
      <c r="TH810" s="1"/>
      <c r="TI810" s="1"/>
      <c r="TJ810" s="1"/>
      <c r="TK810" s="1"/>
      <c r="TL810" s="41"/>
      <c r="TM810" s="1"/>
      <c r="TN810" s="1"/>
      <c r="TO810" s="1"/>
      <c r="TP810" s="1">
        <v>100302.53</v>
      </c>
      <c r="TQ810" s="41">
        <f>13095.23+544.5+254739.02</f>
        <v>268378.75</v>
      </c>
      <c r="TR810" s="1">
        <f t="shared" ref="TR810:UX810" si="543">TQ810-TP810</f>
        <v>168076.22</v>
      </c>
      <c r="TS810" s="1">
        <f t="shared" ref="TS810:UY810" si="544">TP810+TR810</f>
        <v>268378.75</v>
      </c>
      <c r="TT810" s="11">
        <v>15320</v>
      </c>
      <c r="TU810" s="11">
        <v>60900</v>
      </c>
      <c r="TV810" s="42" t="s">
        <v>937</v>
      </c>
      <c r="TW810" s="7"/>
      <c r="TX810" s="7"/>
      <c r="TY810" s="7"/>
      <c r="TZ810" s="7"/>
      <c r="UA810" s="7"/>
      <c r="UB810" s="1"/>
      <c r="UC810" s="1"/>
      <c r="UD810" s="1"/>
      <c r="UE810" s="1"/>
      <c r="UF810" s="7"/>
      <c r="UG810" s="1"/>
      <c r="UH810" s="1"/>
      <c r="UI810" s="1"/>
      <c r="UJ810" s="1"/>
      <c r="UK810" s="1"/>
      <c r="UL810" s="1"/>
      <c r="UM810" s="1"/>
      <c r="UN810" s="1"/>
      <c r="UO810" s="1"/>
      <c r="UP810" s="1"/>
      <c r="UQ810" s="1"/>
      <c r="UR810" s="41"/>
      <c r="US810" s="1"/>
      <c r="UT810" s="1"/>
      <c r="UU810" s="1"/>
      <c r="UV810" s="1">
        <v>100302.53</v>
      </c>
      <c r="UW810" s="41">
        <f>13095.23+544.5+254739.02</f>
        <v>268378.75</v>
      </c>
      <c r="UX810" s="1">
        <f t="shared" si="543"/>
        <v>168076.22</v>
      </c>
      <c r="UY810" s="1">
        <f t="shared" si="544"/>
        <v>268378.75</v>
      </c>
      <c r="UZ810" s="11">
        <v>15320</v>
      </c>
      <c r="VA810" s="11">
        <v>60900</v>
      </c>
      <c r="VB810" s="42" t="s">
        <v>937</v>
      </c>
      <c r="VC810" s="7"/>
      <c r="VD810" s="7"/>
      <c r="VE810" s="7"/>
      <c r="VF810" s="7"/>
      <c r="VG810" s="7"/>
      <c r="VH810" s="1"/>
      <c r="VI810" s="1"/>
      <c r="VJ810" s="1"/>
      <c r="VK810" s="1"/>
      <c r="VL810" s="7"/>
      <c r="VM810" s="1"/>
      <c r="VN810" s="1"/>
      <c r="VO810" s="1"/>
      <c r="VP810" s="1"/>
      <c r="VQ810" s="1"/>
      <c r="VR810" s="1"/>
      <c r="VS810" s="1"/>
      <c r="VT810" s="1"/>
      <c r="VU810" s="1"/>
      <c r="VV810" s="1"/>
      <c r="VW810" s="1"/>
      <c r="VX810" s="41"/>
      <c r="VY810" s="1"/>
      <c r="VZ810" s="1"/>
      <c r="WA810" s="1"/>
      <c r="WB810" s="1">
        <v>100302.53</v>
      </c>
      <c r="WC810" s="41">
        <f>13095.23+544.5+254739.02</f>
        <v>268378.75</v>
      </c>
      <c r="WD810" s="1">
        <f t="shared" ref="WD810:XJ810" si="545">WC810-WB810</f>
        <v>168076.22</v>
      </c>
      <c r="WE810" s="1">
        <f t="shared" ref="WE810:XK810" si="546">WB810+WD810</f>
        <v>268378.75</v>
      </c>
      <c r="WF810" s="11">
        <v>15320</v>
      </c>
      <c r="WG810" s="11">
        <v>60900</v>
      </c>
      <c r="WH810" s="42" t="s">
        <v>937</v>
      </c>
      <c r="WI810" s="7"/>
      <c r="WJ810" s="7"/>
      <c r="WK810" s="7"/>
      <c r="WL810" s="7"/>
      <c r="WM810" s="7"/>
      <c r="WN810" s="1"/>
      <c r="WO810" s="1"/>
      <c r="WP810" s="1"/>
      <c r="WQ810" s="1"/>
      <c r="WR810" s="7"/>
      <c r="WS810" s="1"/>
      <c r="WT810" s="1"/>
      <c r="WU810" s="1"/>
      <c r="WV810" s="1"/>
      <c r="WW810" s="1"/>
      <c r="WX810" s="1"/>
      <c r="WY810" s="1"/>
      <c r="WZ810" s="1"/>
      <c r="XA810" s="1"/>
      <c r="XB810" s="1"/>
      <c r="XC810" s="1"/>
      <c r="XD810" s="41"/>
      <c r="XE810" s="1"/>
      <c r="XF810" s="1"/>
      <c r="XG810" s="1"/>
      <c r="XH810" s="1">
        <v>100302.53</v>
      </c>
      <c r="XI810" s="41">
        <f>13095.23+544.5+254739.02</f>
        <v>268378.75</v>
      </c>
      <c r="XJ810" s="1">
        <f t="shared" si="545"/>
        <v>168076.22</v>
      </c>
      <c r="XK810" s="1">
        <f t="shared" si="546"/>
        <v>268378.75</v>
      </c>
      <c r="XL810" s="11">
        <v>15320</v>
      </c>
      <c r="XM810" s="11">
        <v>60900</v>
      </c>
      <c r="XN810" s="42" t="s">
        <v>937</v>
      </c>
      <c r="XO810" s="7"/>
      <c r="XP810" s="7"/>
      <c r="XQ810" s="7"/>
      <c r="XR810" s="7"/>
      <c r="XS810" s="7"/>
      <c r="XT810" s="1"/>
      <c r="XU810" s="1"/>
      <c r="XV810" s="1"/>
      <c r="XW810" s="1"/>
      <c r="XX810" s="7"/>
      <c r="XY810" s="1"/>
      <c r="XZ810" s="1"/>
      <c r="YA810" s="1"/>
      <c r="YB810" s="1"/>
      <c r="YC810" s="1"/>
      <c r="YD810" s="1"/>
      <c r="YE810" s="1"/>
      <c r="YF810" s="1"/>
      <c r="YG810" s="1"/>
      <c r="YH810" s="1"/>
      <c r="YI810" s="1"/>
      <c r="YJ810" s="41"/>
      <c r="YK810" s="1"/>
      <c r="YL810" s="1"/>
      <c r="YM810" s="1"/>
      <c r="YN810" s="1">
        <v>100302.53</v>
      </c>
      <c r="YO810" s="41">
        <f>13095.23+544.5+254739.02</f>
        <v>268378.75</v>
      </c>
      <c r="YP810" s="1">
        <f t="shared" ref="YP810:ZV810" si="547">YO810-YN810</f>
        <v>168076.22</v>
      </c>
      <c r="YQ810" s="1">
        <f t="shared" ref="YQ810:ZW810" si="548">YN810+YP810</f>
        <v>268378.75</v>
      </c>
      <c r="YR810" s="11">
        <v>15320</v>
      </c>
      <c r="YS810" s="11">
        <v>60900</v>
      </c>
      <c r="YT810" s="42" t="s">
        <v>937</v>
      </c>
      <c r="YU810" s="7"/>
      <c r="YV810" s="7"/>
      <c r="YW810" s="7"/>
      <c r="YX810" s="7"/>
      <c r="YY810" s="7"/>
      <c r="YZ810" s="1"/>
      <c r="ZA810" s="1"/>
      <c r="ZB810" s="1"/>
      <c r="ZC810" s="1"/>
      <c r="ZD810" s="7"/>
      <c r="ZE810" s="1"/>
      <c r="ZF810" s="1"/>
      <c r="ZG810" s="1"/>
      <c r="ZH810" s="1"/>
      <c r="ZI810" s="1"/>
      <c r="ZJ810" s="1"/>
      <c r="ZK810" s="1"/>
      <c r="ZL810" s="1"/>
      <c r="ZM810" s="1"/>
      <c r="ZN810" s="1"/>
      <c r="ZO810" s="1"/>
      <c r="ZP810" s="41"/>
      <c r="ZQ810" s="1"/>
      <c r="ZR810" s="1"/>
      <c r="ZS810" s="1"/>
      <c r="ZT810" s="1">
        <v>100302.53</v>
      </c>
      <c r="ZU810" s="41">
        <f>13095.23+544.5+254739.02</f>
        <v>268378.75</v>
      </c>
      <c r="ZV810" s="1">
        <f t="shared" si="547"/>
        <v>168076.22</v>
      </c>
      <c r="ZW810" s="1">
        <f t="shared" si="548"/>
        <v>268378.75</v>
      </c>
      <c r="ZX810" s="11">
        <v>15320</v>
      </c>
      <c r="ZY810" s="11">
        <v>60900</v>
      </c>
      <c r="ZZ810" s="42" t="s">
        <v>937</v>
      </c>
      <c r="AAA810" s="7"/>
      <c r="AAB810" s="7"/>
      <c r="AAC810" s="7"/>
      <c r="AAD810" s="7"/>
      <c r="AAE810" s="7"/>
      <c r="AAF810" s="1"/>
      <c r="AAG810" s="1"/>
      <c r="AAH810" s="1"/>
      <c r="AAI810" s="1"/>
      <c r="AAJ810" s="7"/>
      <c r="AAK810" s="1"/>
      <c r="AAL810" s="1"/>
      <c r="AAM810" s="1"/>
      <c r="AAN810" s="1"/>
      <c r="AAO810" s="1"/>
      <c r="AAP810" s="1"/>
      <c r="AAQ810" s="1"/>
      <c r="AAR810" s="1"/>
      <c r="AAS810" s="1"/>
      <c r="AAT810" s="1"/>
      <c r="AAU810" s="1"/>
      <c r="AAV810" s="41"/>
      <c r="AAW810" s="1"/>
      <c r="AAX810" s="1"/>
      <c r="AAY810" s="1"/>
      <c r="AAZ810" s="1">
        <v>100302.53</v>
      </c>
      <c r="ABA810" s="41">
        <f>13095.23+544.5+254739.02</f>
        <v>268378.75</v>
      </c>
      <c r="ABB810" s="1">
        <f t="shared" ref="ABB810:ACH810" si="549">ABA810-AAZ810</f>
        <v>168076.22</v>
      </c>
      <c r="ABC810" s="1">
        <f t="shared" ref="ABC810:ACI810" si="550">AAZ810+ABB810</f>
        <v>268378.75</v>
      </c>
      <c r="ABD810" s="11">
        <v>15320</v>
      </c>
      <c r="ABE810" s="11">
        <v>60900</v>
      </c>
      <c r="ABF810" s="42" t="s">
        <v>937</v>
      </c>
      <c r="ABG810" s="7"/>
      <c r="ABH810" s="7"/>
      <c r="ABI810" s="7"/>
      <c r="ABJ810" s="7"/>
      <c r="ABK810" s="7"/>
      <c r="ABL810" s="1"/>
      <c r="ABM810" s="1"/>
      <c r="ABN810" s="1"/>
      <c r="ABO810" s="1"/>
      <c r="ABP810" s="7"/>
      <c r="ABQ810" s="1"/>
      <c r="ABR810" s="1"/>
      <c r="ABS810" s="1"/>
      <c r="ABT810" s="1"/>
      <c r="ABU810" s="1"/>
      <c r="ABV810" s="1"/>
      <c r="ABW810" s="1"/>
      <c r="ABX810" s="1"/>
      <c r="ABY810" s="1"/>
      <c r="ABZ810" s="1"/>
      <c r="ACA810" s="1"/>
      <c r="ACB810" s="41"/>
      <c r="ACC810" s="1"/>
      <c r="ACD810" s="1"/>
      <c r="ACE810" s="1"/>
      <c r="ACF810" s="1">
        <v>100302.53</v>
      </c>
      <c r="ACG810" s="41">
        <f>13095.23+544.5+254739.02</f>
        <v>268378.75</v>
      </c>
      <c r="ACH810" s="1">
        <f t="shared" si="549"/>
        <v>168076.22</v>
      </c>
      <c r="ACI810" s="1">
        <f t="shared" si="550"/>
        <v>268378.75</v>
      </c>
      <c r="ACJ810" s="11">
        <v>15320</v>
      </c>
      <c r="ACK810" s="11">
        <v>60900</v>
      </c>
      <c r="ACL810" s="42" t="s">
        <v>937</v>
      </c>
      <c r="ACM810" s="7"/>
      <c r="ACN810" s="7"/>
      <c r="ACO810" s="7"/>
      <c r="ACP810" s="7"/>
      <c r="ACQ810" s="7"/>
      <c r="ACR810" s="1"/>
      <c r="ACS810" s="1"/>
      <c r="ACT810" s="1"/>
      <c r="ACU810" s="1"/>
      <c r="ACV810" s="7"/>
      <c r="ACW810" s="1"/>
      <c r="ACX810" s="1"/>
      <c r="ACY810" s="1"/>
      <c r="ACZ810" s="1"/>
      <c r="ADA810" s="1"/>
      <c r="ADB810" s="1"/>
      <c r="ADC810" s="1"/>
      <c r="ADD810" s="1"/>
      <c r="ADE810" s="1"/>
      <c r="ADF810" s="1"/>
      <c r="ADG810" s="1"/>
      <c r="ADH810" s="41"/>
      <c r="ADI810" s="1"/>
      <c r="ADJ810" s="1"/>
      <c r="ADK810" s="1"/>
      <c r="ADL810" s="1">
        <v>100302.53</v>
      </c>
      <c r="ADM810" s="41">
        <f>13095.23+544.5+254739.02</f>
        <v>268378.75</v>
      </c>
      <c r="ADN810" s="1">
        <f t="shared" ref="ADN810:AET810" si="551">ADM810-ADL810</f>
        <v>168076.22</v>
      </c>
      <c r="ADO810" s="1">
        <f t="shared" ref="ADO810:AEU810" si="552">ADL810+ADN810</f>
        <v>268378.75</v>
      </c>
      <c r="ADP810" s="11">
        <v>15320</v>
      </c>
      <c r="ADQ810" s="11">
        <v>60900</v>
      </c>
      <c r="ADR810" s="42" t="s">
        <v>937</v>
      </c>
      <c r="ADS810" s="7"/>
      <c r="ADT810" s="7"/>
      <c r="ADU810" s="7"/>
      <c r="ADV810" s="7"/>
      <c r="ADW810" s="7"/>
      <c r="ADX810" s="1"/>
      <c r="ADY810" s="1"/>
      <c r="ADZ810" s="1"/>
      <c r="AEA810" s="1"/>
      <c r="AEB810" s="7"/>
      <c r="AEC810" s="1"/>
      <c r="AED810" s="1"/>
      <c r="AEE810" s="1"/>
      <c r="AEF810" s="1"/>
      <c r="AEG810" s="1"/>
      <c r="AEH810" s="1"/>
      <c r="AEI810" s="1"/>
      <c r="AEJ810" s="1"/>
      <c r="AEK810" s="1"/>
      <c r="AEL810" s="1"/>
      <c r="AEM810" s="1"/>
      <c r="AEN810" s="41"/>
      <c r="AEO810" s="1"/>
      <c r="AEP810" s="1"/>
      <c r="AEQ810" s="1"/>
      <c r="AER810" s="1">
        <v>100302.53</v>
      </c>
      <c r="AES810" s="41">
        <f>13095.23+544.5+254739.02</f>
        <v>268378.75</v>
      </c>
      <c r="AET810" s="1">
        <f t="shared" si="551"/>
        <v>168076.22</v>
      </c>
      <c r="AEU810" s="1">
        <f t="shared" si="552"/>
        <v>268378.75</v>
      </c>
      <c r="AEV810" s="11">
        <v>15320</v>
      </c>
      <c r="AEW810" s="11">
        <v>60900</v>
      </c>
      <c r="AEX810" s="42" t="s">
        <v>937</v>
      </c>
      <c r="AEY810" s="7"/>
      <c r="AEZ810" s="7"/>
      <c r="AFA810" s="7"/>
      <c r="AFB810" s="7"/>
      <c r="AFC810" s="7"/>
      <c r="AFD810" s="1"/>
      <c r="AFE810" s="1"/>
      <c r="AFF810" s="1"/>
      <c r="AFG810" s="1"/>
      <c r="AFH810" s="7"/>
      <c r="AFI810" s="1"/>
      <c r="AFJ810" s="1"/>
      <c r="AFK810" s="1"/>
      <c r="AFL810" s="1"/>
      <c r="AFM810" s="1"/>
      <c r="AFN810" s="1"/>
      <c r="AFO810" s="1"/>
      <c r="AFP810" s="1"/>
      <c r="AFQ810" s="1"/>
      <c r="AFR810" s="1"/>
      <c r="AFS810" s="1"/>
      <c r="AFT810" s="41"/>
      <c r="AFU810" s="1"/>
      <c r="AFV810" s="1"/>
      <c r="AFW810" s="1"/>
      <c r="AFX810" s="1">
        <v>100302.53</v>
      </c>
      <c r="AFY810" s="41">
        <f>13095.23+544.5+254739.02</f>
        <v>268378.75</v>
      </c>
      <c r="AFZ810" s="1">
        <f t="shared" ref="AFZ810:AHF810" si="553">AFY810-AFX810</f>
        <v>168076.22</v>
      </c>
      <c r="AGA810" s="1">
        <f t="shared" ref="AGA810:AHG810" si="554">AFX810+AFZ810</f>
        <v>268378.75</v>
      </c>
      <c r="AGB810" s="11">
        <v>15320</v>
      </c>
      <c r="AGC810" s="11">
        <v>60900</v>
      </c>
      <c r="AGD810" s="42" t="s">
        <v>937</v>
      </c>
      <c r="AGE810" s="7"/>
      <c r="AGF810" s="7"/>
      <c r="AGG810" s="7"/>
      <c r="AGH810" s="7"/>
      <c r="AGI810" s="7"/>
      <c r="AGJ810" s="1"/>
      <c r="AGK810" s="1"/>
      <c r="AGL810" s="1"/>
      <c r="AGM810" s="1"/>
      <c r="AGN810" s="7"/>
      <c r="AGO810" s="1"/>
      <c r="AGP810" s="1"/>
      <c r="AGQ810" s="1"/>
      <c r="AGR810" s="1"/>
      <c r="AGS810" s="1"/>
      <c r="AGT810" s="1"/>
      <c r="AGU810" s="1"/>
      <c r="AGV810" s="1"/>
      <c r="AGW810" s="1"/>
      <c r="AGX810" s="1"/>
      <c r="AGY810" s="1"/>
      <c r="AGZ810" s="41"/>
      <c r="AHA810" s="1"/>
      <c r="AHB810" s="1"/>
      <c r="AHC810" s="1"/>
      <c r="AHD810" s="1">
        <v>100302.53</v>
      </c>
      <c r="AHE810" s="41">
        <f>13095.23+544.5+254739.02</f>
        <v>268378.75</v>
      </c>
      <c r="AHF810" s="1">
        <f t="shared" si="553"/>
        <v>168076.22</v>
      </c>
      <c r="AHG810" s="1">
        <f t="shared" si="554"/>
        <v>268378.75</v>
      </c>
      <c r="AHH810" s="11">
        <v>15320</v>
      </c>
      <c r="AHI810" s="11">
        <v>60900</v>
      </c>
      <c r="AHJ810" s="42" t="s">
        <v>937</v>
      </c>
      <c r="AHK810" s="7"/>
      <c r="AHL810" s="7"/>
      <c r="AHM810" s="7"/>
      <c r="AHN810" s="7"/>
      <c r="AHO810" s="7"/>
      <c r="AHP810" s="1"/>
      <c r="AHQ810" s="1"/>
      <c r="AHR810" s="1"/>
      <c r="AHS810" s="1"/>
      <c r="AHT810" s="7"/>
      <c r="AHU810" s="1"/>
      <c r="AHV810" s="1"/>
      <c r="AHW810" s="1"/>
      <c r="AHX810" s="1"/>
      <c r="AHY810" s="1"/>
      <c r="AHZ810" s="1"/>
      <c r="AIA810" s="1"/>
      <c r="AIB810" s="1"/>
      <c r="AIC810" s="1"/>
      <c r="AID810" s="1"/>
      <c r="AIE810" s="1"/>
      <c r="AIF810" s="41"/>
      <c r="AIG810" s="1"/>
      <c r="AIH810" s="1"/>
      <c r="AII810" s="1"/>
      <c r="AIJ810" s="1">
        <v>100302.53</v>
      </c>
      <c r="AIK810" s="41">
        <f>13095.23+544.5+254739.02</f>
        <v>268378.75</v>
      </c>
      <c r="AIL810" s="1">
        <f t="shared" ref="AIL810:AJR810" si="555">AIK810-AIJ810</f>
        <v>168076.22</v>
      </c>
      <c r="AIM810" s="1">
        <f t="shared" ref="AIM810:AJS810" si="556">AIJ810+AIL810</f>
        <v>268378.75</v>
      </c>
      <c r="AIN810" s="11">
        <v>15320</v>
      </c>
      <c r="AIO810" s="11">
        <v>60900</v>
      </c>
      <c r="AIP810" s="42" t="s">
        <v>937</v>
      </c>
      <c r="AIQ810" s="7"/>
      <c r="AIR810" s="7"/>
      <c r="AIS810" s="7"/>
      <c r="AIT810" s="7"/>
      <c r="AIU810" s="7"/>
      <c r="AIV810" s="1"/>
      <c r="AIW810" s="1"/>
      <c r="AIX810" s="1"/>
      <c r="AIY810" s="1"/>
      <c r="AIZ810" s="7"/>
      <c r="AJA810" s="1"/>
      <c r="AJB810" s="1"/>
      <c r="AJC810" s="1"/>
      <c r="AJD810" s="1"/>
      <c r="AJE810" s="1"/>
      <c r="AJF810" s="1"/>
      <c r="AJG810" s="1"/>
      <c r="AJH810" s="1"/>
      <c r="AJI810" s="1"/>
      <c r="AJJ810" s="1"/>
      <c r="AJK810" s="1"/>
      <c r="AJL810" s="41"/>
      <c r="AJM810" s="1"/>
      <c r="AJN810" s="1"/>
      <c r="AJO810" s="1"/>
      <c r="AJP810" s="1">
        <v>100302.53</v>
      </c>
      <c r="AJQ810" s="41">
        <f>13095.23+544.5+254739.02</f>
        <v>268378.75</v>
      </c>
      <c r="AJR810" s="1">
        <f t="shared" si="555"/>
        <v>168076.22</v>
      </c>
      <c r="AJS810" s="1">
        <f t="shared" si="556"/>
        <v>268378.75</v>
      </c>
      <c r="AJT810" s="11">
        <v>15320</v>
      </c>
      <c r="AJU810" s="11">
        <v>60900</v>
      </c>
      <c r="AJV810" s="42" t="s">
        <v>937</v>
      </c>
      <c r="AJW810" s="7"/>
      <c r="AJX810" s="7"/>
      <c r="AJY810" s="7"/>
      <c r="AJZ810" s="7"/>
      <c r="AKA810" s="7"/>
      <c r="AKB810" s="1"/>
      <c r="AKC810" s="1"/>
      <c r="AKD810" s="1"/>
      <c r="AKE810" s="1"/>
      <c r="AKF810" s="7"/>
      <c r="AKG810" s="1"/>
      <c r="AKH810" s="1"/>
      <c r="AKI810" s="1"/>
      <c r="AKJ810" s="1"/>
      <c r="AKK810" s="1"/>
      <c r="AKL810" s="1"/>
      <c r="AKM810" s="1"/>
      <c r="AKN810" s="1"/>
      <c r="AKO810" s="1"/>
      <c r="AKP810" s="1"/>
      <c r="AKQ810" s="1"/>
      <c r="AKR810" s="41"/>
      <c r="AKS810" s="1"/>
      <c r="AKT810" s="1"/>
      <c r="AKU810" s="1"/>
      <c r="AKV810" s="1">
        <v>100302.53</v>
      </c>
      <c r="AKW810" s="41">
        <f>13095.23+544.5+254739.02</f>
        <v>268378.75</v>
      </c>
      <c r="AKX810" s="1">
        <f t="shared" ref="AKX810:AMD810" si="557">AKW810-AKV810</f>
        <v>168076.22</v>
      </c>
      <c r="AKY810" s="1">
        <f t="shared" ref="AKY810:AME810" si="558">AKV810+AKX810</f>
        <v>268378.75</v>
      </c>
      <c r="AKZ810" s="11">
        <v>15320</v>
      </c>
      <c r="ALA810" s="11">
        <v>60900</v>
      </c>
      <c r="ALB810" s="42" t="s">
        <v>937</v>
      </c>
      <c r="ALC810" s="7"/>
      <c r="ALD810" s="7"/>
      <c r="ALE810" s="7"/>
      <c r="ALF810" s="7"/>
      <c r="ALG810" s="7"/>
      <c r="ALH810" s="1"/>
      <c r="ALI810" s="1"/>
      <c r="ALJ810" s="1"/>
      <c r="ALK810" s="1"/>
      <c r="ALL810" s="7"/>
      <c r="ALM810" s="1"/>
      <c r="ALN810" s="1"/>
      <c r="ALO810" s="1"/>
      <c r="ALP810" s="1"/>
      <c r="ALQ810" s="1"/>
      <c r="ALR810" s="1"/>
      <c r="ALS810" s="1"/>
      <c r="ALT810" s="1"/>
      <c r="ALU810" s="1"/>
      <c r="ALV810" s="1"/>
      <c r="ALW810" s="1"/>
      <c r="ALX810" s="41"/>
      <c r="ALY810" s="1"/>
      <c r="ALZ810" s="1"/>
      <c r="AMA810" s="1"/>
      <c r="AMB810" s="1">
        <v>100302.53</v>
      </c>
      <c r="AMC810" s="41">
        <f>13095.23+544.5+254739.02</f>
        <v>268378.75</v>
      </c>
      <c r="AMD810" s="1">
        <f t="shared" si="557"/>
        <v>168076.22</v>
      </c>
      <c r="AME810" s="1">
        <f t="shared" si="558"/>
        <v>268378.75</v>
      </c>
      <c r="AMF810" s="11">
        <v>15320</v>
      </c>
      <c r="AMG810" s="11">
        <v>60900</v>
      </c>
      <c r="AMH810" s="42" t="s">
        <v>937</v>
      </c>
      <c r="AMI810" s="7"/>
      <c r="AMJ810" s="7"/>
      <c r="AMK810" s="7"/>
      <c r="AML810" s="7"/>
      <c r="AMM810" s="7"/>
      <c r="AMN810" s="1"/>
      <c r="AMO810" s="1"/>
      <c r="AMP810" s="1"/>
      <c r="AMQ810" s="1"/>
      <c r="AMR810" s="7"/>
      <c r="AMS810" s="1"/>
      <c r="AMT810" s="1"/>
      <c r="AMU810" s="1"/>
      <c r="AMV810" s="1"/>
      <c r="AMW810" s="1"/>
      <c r="AMX810" s="1"/>
      <c r="AMY810" s="1"/>
      <c r="AMZ810" s="1"/>
      <c r="ANA810" s="1"/>
      <c r="ANB810" s="1"/>
      <c r="ANC810" s="1"/>
      <c r="AND810" s="41"/>
      <c r="ANE810" s="1"/>
      <c r="ANF810" s="1"/>
      <c r="ANG810" s="1"/>
      <c r="ANH810" s="1">
        <v>100302.53</v>
      </c>
      <c r="ANI810" s="41">
        <f>13095.23+544.5+254739.02</f>
        <v>268378.75</v>
      </c>
      <c r="ANJ810" s="1">
        <f t="shared" ref="ANJ810:AOP810" si="559">ANI810-ANH810</f>
        <v>168076.22</v>
      </c>
      <c r="ANK810" s="1">
        <f t="shared" ref="ANK810:AOQ810" si="560">ANH810+ANJ810</f>
        <v>268378.75</v>
      </c>
      <c r="ANL810" s="11">
        <v>15320</v>
      </c>
      <c r="ANM810" s="11">
        <v>60900</v>
      </c>
      <c r="ANN810" s="42" t="s">
        <v>937</v>
      </c>
      <c r="ANO810" s="7"/>
      <c r="ANP810" s="7"/>
      <c r="ANQ810" s="7"/>
      <c r="ANR810" s="7"/>
      <c r="ANS810" s="7"/>
      <c r="ANT810" s="1"/>
      <c r="ANU810" s="1"/>
      <c r="ANV810" s="1"/>
      <c r="ANW810" s="1"/>
      <c r="ANX810" s="7"/>
      <c r="ANY810" s="1"/>
      <c r="ANZ810" s="1"/>
      <c r="AOA810" s="1"/>
      <c r="AOB810" s="1"/>
      <c r="AOC810" s="1"/>
      <c r="AOD810" s="1"/>
      <c r="AOE810" s="1"/>
      <c r="AOF810" s="1"/>
      <c r="AOG810" s="1"/>
      <c r="AOH810" s="1"/>
      <c r="AOI810" s="1"/>
      <c r="AOJ810" s="41"/>
      <c r="AOK810" s="1"/>
      <c r="AOL810" s="1"/>
      <c r="AOM810" s="1"/>
      <c r="AON810" s="1">
        <v>100302.53</v>
      </c>
      <c r="AOO810" s="41">
        <f>13095.23+544.5+254739.02</f>
        <v>268378.75</v>
      </c>
      <c r="AOP810" s="1">
        <f t="shared" si="559"/>
        <v>168076.22</v>
      </c>
      <c r="AOQ810" s="1">
        <f t="shared" si="560"/>
        <v>268378.75</v>
      </c>
      <c r="AOR810" s="11">
        <v>15320</v>
      </c>
      <c r="AOS810" s="11">
        <v>60900</v>
      </c>
      <c r="AOT810" s="42" t="s">
        <v>937</v>
      </c>
      <c r="AOU810" s="7"/>
      <c r="AOV810" s="7"/>
      <c r="AOW810" s="7"/>
      <c r="AOX810" s="7"/>
      <c r="AOY810" s="7"/>
      <c r="AOZ810" s="1"/>
      <c r="APA810" s="1"/>
      <c r="APB810" s="1"/>
      <c r="APC810" s="1"/>
      <c r="APD810" s="7"/>
      <c r="APE810" s="1"/>
      <c r="APF810" s="1"/>
      <c r="APG810" s="1"/>
      <c r="APH810" s="1"/>
      <c r="API810" s="1"/>
      <c r="APJ810" s="1"/>
      <c r="APK810" s="1"/>
      <c r="APL810" s="1"/>
      <c r="APM810" s="1"/>
      <c r="APN810" s="1"/>
      <c r="APO810" s="1"/>
      <c r="APP810" s="41"/>
      <c r="APQ810" s="1"/>
      <c r="APR810" s="1"/>
      <c r="APS810" s="1"/>
      <c r="APT810" s="1">
        <v>100302.53</v>
      </c>
      <c r="APU810" s="41">
        <f>13095.23+544.5+254739.02</f>
        <v>268378.75</v>
      </c>
      <c r="APV810" s="1">
        <f t="shared" ref="APV810:ARB810" si="561">APU810-APT810</f>
        <v>168076.22</v>
      </c>
      <c r="APW810" s="1">
        <f t="shared" ref="APW810:ARC810" si="562">APT810+APV810</f>
        <v>268378.75</v>
      </c>
      <c r="APX810" s="11">
        <v>15320</v>
      </c>
      <c r="APY810" s="11">
        <v>60900</v>
      </c>
      <c r="APZ810" s="42" t="s">
        <v>937</v>
      </c>
      <c r="AQA810" s="7"/>
      <c r="AQB810" s="7"/>
      <c r="AQC810" s="7"/>
      <c r="AQD810" s="7"/>
      <c r="AQE810" s="7"/>
      <c r="AQF810" s="1"/>
      <c r="AQG810" s="1"/>
      <c r="AQH810" s="1"/>
      <c r="AQI810" s="1"/>
      <c r="AQJ810" s="7"/>
      <c r="AQK810" s="1"/>
      <c r="AQL810" s="1"/>
      <c r="AQM810" s="1"/>
      <c r="AQN810" s="1"/>
      <c r="AQO810" s="1"/>
      <c r="AQP810" s="1"/>
      <c r="AQQ810" s="1"/>
      <c r="AQR810" s="1"/>
      <c r="AQS810" s="1"/>
      <c r="AQT810" s="1"/>
      <c r="AQU810" s="1"/>
      <c r="AQV810" s="41"/>
      <c r="AQW810" s="1"/>
      <c r="AQX810" s="1"/>
      <c r="AQY810" s="1"/>
      <c r="AQZ810" s="1">
        <v>100302.53</v>
      </c>
      <c r="ARA810" s="41">
        <f>13095.23+544.5+254739.02</f>
        <v>268378.75</v>
      </c>
      <c r="ARB810" s="1">
        <f t="shared" si="561"/>
        <v>168076.22</v>
      </c>
      <c r="ARC810" s="1">
        <f t="shared" si="562"/>
        <v>268378.75</v>
      </c>
      <c r="ARD810" s="11">
        <v>15320</v>
      </c>
      <c r="ARE810" s="11">
        <v>60900</v>
      </c>
      <c r="ARF810" s="42" t="s">
        <v>937</v>
      </c>
      <c r="ARG810" s="7"/>
      <c r="ARH810" s="7"/>
      <c r="ARI810" s="7"/>
      <c r="ARJ810" s="7"/>
      <c r="ARK810" s="7"/>
      <c r="ARL810" s="1"/>
      <c r="ARM810" s="1"/>
      <c r="ARN810" s="1"/>
      <c r="ARO810" s="1"/>
      <c r="ARP810" s="7"/>
      <c r="ARQ810" s="1"/>
      <c r="ARR810" s="1"/>
      <c r="ARS810" s="1"/>
      <c r="ART810" s="1"/>
      <c r="ARU810" s="1"/>
      <c r="ARV810" s="1"/>
      <c r="ARW810" s="1"/>
      <c r="ARX810" s="1"/>
      <c r="ARY810" s="1"/>
      <c r="ARZ810" s="1"/>
      <c r="ASA810" s="1"/>
      <c r="ASB810" s="41"/>
      <c r="ASC810" s="1"/>
      <c r="ASD810" s="1"/>
      <c r="ASE810" s="1"/>
      <c r="ASF810" s="1">
        <v>100302.53</v>
      </c>
      <c r="ASG810" s="41">
        <f>13095.23+544.5+254739.02</f>
        <v>268378.75</v>
      </c>
      <c r="ASH810" s="1">
        <f t="shared" ref="ASH810:ATN810" si="563">ASG810-ASF810</f>
        <v>168076.22</v>
      </c>
      <c r="ASI810" s="1">
        <f t="shared" ref="ASI810:ATO810" si="564">ASF810+ASH810</f>
        <v>268378.75</v>
      </c>
      <c r="ASJ810" s="11">
        <v>15320</v>
      </c>
      <c r="ASK810" s="11">
        <v>60900</v>
      </c>
      <c r="ASL810" s="42" t="s">
        <v>937</v>
      </c>
      <c r="ASM810" s="7"/>
      <c r="ASN810" s="7"/>
      <c r="ASO810" s="7"/>
      <c r="ASP810" s="7"/>
      <c r="ASQ810" s="7"/>
      <c r="ASR810" s="1"/>
      <c r="ASS810" s="1"/>
      <c r="AST810" s="1"/>
      <c r="ASU810" s="1"/>
      <c r="ASV810" s="7"/>
      <c r="ASW810" s="1"/>
      <c r="ASX810" s="1"/>
      <c r="ASY810" s="1"/>
      <c r="ASZ810" s="1"/>
      <c r="ATA810" s="1"/>
      <c r="ATB810" s="1"/>
      <c r="ATC810" s="1"/>
      <c r="ATD810" s="1"/>
      <c r="ATE810" s="1"/>
      <c r="ATF810" s="1"/>
      <c r="ATG810" s="1"/>
      <c r="ATH810" s="41"/>
      <c r="ATI810" s="1"/>
      <c r="ATJ810" s="1"/>
      <c r="ATK810" s="1"/>
      <c r="ATL810" s="1">
        <v>100302.53</v>
      </c>
      <c r="ATM810" s="41">
        <f>13095.23+544.5+254739.02</f>
        <v>268378.75</v>
      </c>
      <c r="ATN810" s="1">
        <f t="shared" si="563"/>
        <v>168076.22</v>
      </c>
      <c r="ATO810" s="1">
        <f t="shared" si="564"/>
        <v>268378.75</v>
      </c>
      <c r="ATP810" s="11">
        <v>15320</v>
      </c>
      <c r="ATQ810" s="11">
        <v>60900</v>
      </c>
      <c r="ATR810" s="42" t="s">
        <v>937</v>
      </c>
      <c r="ATS810" s="7"/>
      <c r="ATT810" s="7"/>
      <c r="ATU810" s="7"/>
      <c r="ATV810" s="7"/>
      <c r="ATW810" s="7"/>
      <c r="ATX810" s="1"/>
      <c r="ATY810" s="1"/>
      <c r="ATZ810" s="1"/>
      <c r="AUA810" s="1"/>
      <c r="AUB810" s="7"/>
      <c r="AUC810" s="1"/>
      <c r="AUD810" s="1"/>
      <c r="AUE810" s="1"/>
      <c r="AUF810" s="1"/>
      <c r="AUG810" s="1"/>
      <c r="AUH810" s="1"/>
      <c r="AUI810" s="1"/>
      <c r="AUJ810" s="1"/>
      <c r="AUK810" s="1"/>
      <c r="AUL810" s="1"/>
      <c r="AUM810" s="1"/>
      <c r="AUN810" s="41"/>
      <c r="AUO810" s="1"/>
      <c r="AUP810" s="1"/>
      <c r="AUQ810" s="1"/>
      <c r="AUR810" s="1">
        <v>100302.53</v>
      </c>
      <c r="AUS810" s="41">
        <f>13095.23+544.5+254739.02</f>
        <v>268378.75</v>
      </c>
      <c r="AUT810" s="1">
        <f t="shared" ref="AUT810:AVZ810" si="565">AUS810-AUR810</f>
        <v>168076.22</v>
      </c>
      <c r="AUU810" s="1">
        <f t="shared" ref="AUU810:AWA810" si="566">AUR810+AUT810</f>
        <v>268378.75</v>
      </c>
      <c r="AUV810" s="11">
        <v>15320</v>
      </c>
      <c r="AUW810" s="11">
        <v>60900</v>
      </c>
      <c r="AUX810" s="42" t="s">
        <v>937</v>
      </c>
      <c r="AUY810" s="7"/>
      <c r="AUZ810" s="7"/>
      <c r="AVA810" s="7"/>
      <c r="AVB810" s="7"/>
      <c r="AVC810" s="7"/>
      <c r="AVD810" s="1"/>
      <c r="AVE810" s="1"/>
      <c r="AVF810" s="1"/>
      <c r="AVG810" s="1"/>
      <c r="AVH810" s="7"/>
      <c r="AVI810" s="1"/>
      <c r="AVJ810" s="1"/>
      <c r="AVK810" s="1"/>
      <c r="AVL810" s="1"/>
      <c r="AVM810" s="1"/>
      <c r="AVN810" s="1"/>
      <c r="AVO810" s="1"/>
      <c r="AVP810" s="1"/>
      <c r="AVQ810" s="1"/>
      <c r="AVR810" s="1"/>
      <c r="AVS810" s="1"/>
      <c r="AVT810" s="41"/>
      <c r="AVU810" s="1"/>
      <c r="AVV810" s="1"/>
      <c r="AVW810" s="1"/>
      <c r="AVX810" s="1">
        <v>100302.53</v>
      </c>
      <c r="AVY810" s="41">
        <f>13095.23+544.5+254739.02</f>
        <v>268378.75</v>
      </c>
      <c r="AVZ810" s="1">
        <f t="shared" si="565"/>
        <v>168076.22</v>
      </c>
      <c r="AWA810" s="1">
        <f t="shared" si="566"/>
        <v>268378.75</v>
      </c>
      <c r="AWB810" s="11">
        <v>15320</v>
      </c>
      <c r="AWC810" s="11">
        <v>60900</v>
      </c>
      <c r="AWD810" s="42" t="s">
        <v>937</v>
      </c>
      <c r="AWE810" s="7"/>
      <c r="AWF810" s="7"/>
      <c r="AWG810" s="7"/>
      <c r="AWH810" s="7"/>
      <c r="AWI810" s="7"/>
      <c r="AWJ810" s="1"/>
      <c r="AWK810" s="1"/>
      <c r="AWL810" s="1"/>
      <c r="AWM810" s="1"/>
      <c r="AWN810" s="7"/>
      <c r="AWO810" s="1"/>
      <c r="AWP810" s="1"/>
      <c r="AWQ810" s="1"/>
      <c r="AWR810" s="1"/>
      <c r="AWS810" s="1"/>
      <c r="AWT810" s="1"/>
      <c r="AWU810" s="1"/>
      <c r="AWV810" s="1"/>
      <c r="AWW810" s="1"/>
      <c r="AWX810" s="1"/>
      <c r="AWY810" s="1"/>
      <c r="AWZ810" s="41"/>
      <c r="AXA810" s="1"/>
      <c r="AXB810" s="1"/>
      <c r="AXC810" s="1"/>
      <c r="AXD810" s="1">
        <v>100302.53</v>
      </c>
      <c r="AXE810" s="41">
        <f>13095.23+544.5+254739.02</f>
        <v>268378.75</v>
      </c>
      <c r="AXF810" s="1">
        <f t="shared" ref="AXF810:AYL810" si="567">AXE810-AXD810</f>
        <v>168076.22</v>
      </c>
      <c r="AXG810" s="1">
        <f t="shared" ref="AXG810:AYM810" si="568">AXD810+AXF810</f>
        <v>268378.75</v>
      </c>
      <c r="AXH810" s="11">
        <v>15320</v>
      </c>
      <c r="AXI810" s="11">
        <v>60900</v>
      </c>
      <c r="AXJ810" s="42" t="s">
        <v>937</v>
      </c>
      <c r="AXK810" s="7"/>
      <c r="AXL810" s="7"/>
      <c r="AXM810" s="7"/>
      <c r="AXN810" s="7"/>
      <c r="AXO810" s="7"/>
      <c r="AXP810" s="1"/>
      <c r="AXQ810" s="1"/>
      <c r="AXR810" s="1"/>
      <c r="AXS810" s="1"/>
      <c r="AXT810" s="7"/>
      <c r="AXU810" s="1"/>
      <c r="AXV810" s="1"/>
      <c r="AXW810" s="1"/>
      <c r="AXX810" s="1"/>
      <c r="AXY810" s="1"/>
      <c r="AXZ810" s="1"/>
      <c r="AYA810" s="1"/>
      <c r="AYB810" s="1"/>
      <c r="AYC810" s="1"/>
      <c r="AYD810" s="1"/>
      <c r="AYE810" s="1"/>
      <c r="AYF810" s="41"/>
      <c r="AYG810" s="1"/>
      <c r="AYH810" s="1"/>
      <c r="AYI810" s="1"/>
      <c r="AYJ810" s="1">
        <v>100302.53</v>
      </c>
      <c r="AYK810" s="41">
        <f>13095.23+544.5+254739.02</f>
        <v>268378.75</v>
      </c>
      <c r="AYL810" s="1">
        <f t="shared" si="567"/>
        <v>168076.22</v>
      </c>
      <c r="AYM810" s="1">
        <f t="shared" si="568"/>
        <v>268378.75</v>
      </c>
      <c r="AYN810" s="11">
        <v>15320</v>
      </c>
      <c r="AYO810" s="11">
        <v>60900</v>
      </c>
      <c r="AYP810" s="42" t="s">
        <v>937</v>
      </c>
      <c r="AYQ810" s="7"/>
      <c r="AYR810" s="7"/>
      <c r="AYS810" s="7"/>
      <c r="AYT810" s="7"/>
      <c r="AYU810" s="7"/>
      <c r="AYV810" s="1"/>
      <c r="AYW810" s="1"/>
      <c r="AYX810" s="1"/>
      <c r="AYY810" s="1"/>
      <c r="AYZ810" s="7"/>
      <c r="AZA810" s="1"/>
      <c r="AZB810" s="1"/>
      <c r="AZC810" s="1"/>
      <c r="AZD810" s="1"/>
      <c r="AZE810" s="1"/>
      <c r="AZF810" s="1"/>
      <c r="AZG810" s="1"/>
      <c r="AZH810" s="1"/>
      <c r="AZI810" s="1"/>
      <c r="AZJ810" s="1"/>
      <c r="AZK810" s="1"/>
      <c r="AZL810" s="41"/>
      <c r="AZM810" s="1"/>
      <c r="AZN810" s="1"/>
      <c r="AZO810" s="1"/>
      <c r="AZP810" s="1">
        <v>100302.53</v>
      </c>
      <c r="AZQ810" s="41">
        <f>13095.23+544.5+254739.02</f>
        <v>268378.75</v>
      </c>
      <c r="AZR810" s="1">
        <f t="shared" ref="AZR810:BAX810" si="569">AZQ810-AZP810</f>
        <v>168076.22</v>
      </c>
      <c r="AZS810" s="1">
        <f t="shared" ref="AZS810:BAY810" si="570">AZP810+AZR810</f>
        <v>268378.75</v>
      </c>
      <c r="AZT810" s="11">
        <v>15320</v>
      </c>
      <c r="AZU810" s="11">
        <v>60900</v>
      </c>
      <c r="AZV810" s="42" t="s">
        <v>937</v>
      </c>
      <c r="AZW810" s="7"/>
      <c r="AZX810" s="7"/>
      <c r="AZY810" s="7"/>
      <c r="AZZ810" s="7"/>
      <c r="BAA810" s="7"/>
      <c r="BAB810" s="1"/>
      <c r="BAC810" s="1"/>
      <c r="BAD810" s="1"/>
      <c r="BAE810" s="1"/>
      <c r="BAF810" s="7"/>
      <c r="BAG810" s="1"/>
      <c r="BAH810" s="1"/>
      <c r="BAI810" s="1"/>
      <c r="BAJ810" s="1"/>
      <c r="BAK810" s="1"/>
      <c r="BAL810" s="1"/>
      <c r="BAM810" s="1"/>
      <c r="BAN810" s="1"/>
      <c r="BAO810" s="1"/>
      <c r="BAP810" s="1"/>
      <c r="BAQ810" s="1"/>
      <c r="BAR810" s="41"/>
      <c r="BAS810" s="1"/>
      <c r="BAT810" s="1"/>
      <c r="BAU810" s="1"/>
      <c r="BAV810" s="1">
        <v>100302.53</v>
      </c>
      <c r="BAW810" s="41">
        <f>13095.23+544.5+254739.02</f>
        <v>268378.75</v>
      </c>
      <c r="BAX810" s="1">
        <f t="shared" si="569"/>
        <v>168076.22</v>
      </c>
      <c r="BAY810" s="1">
        <f t="shared" si="570"/>
        <v>268378.75</v>
      </c>
      <c r="BAZ810" s="11">
        <v>15320</v>
      </c>
      <c r="BBA810" s="11">
        <v>60900</v>
      </c>
      <c r="BBB810" s="42" t="s">
        <v>937</v>
      </c>
      <c r="BBC810" s="7"/>
      <c r="BBD810" s="7"/>
      <c r="BBE810" s="7"/>
      <c r="BBF810" s="7"/>
      <c r="BBG810" s="7"/>
      <c r="BBH810" s="1"/>
      <c r="BBI810" s="1"/>
      <c r="BBJ810" s="1"/>
      <c r="BBK810" s="1"/>
      <c r="BBL810" s="7"/>
      <c r="BBM810" s="1"/>
      <c r="BBN810" s="1"/>
      <c r="BBO810" s="1"/>
      <c r="BBP810" s="1"/>
      <c r="BBQ810" s="1"/>
      <c r="BBR810" s="1"/>
      <c r="BBS810" s="1"/>
      <c r="BBT810" s="1"/>
      <c r="BBU810" s="1"/>
      <c r="BBV810" s="1"/>
      <c r="BBW810" s="1"/>
      <c r="BBX810" s="41"/>
      <c r="BBY810" s="1"/>
      <c r="BBZ810" s="1"/>
      <c r="BCA810" s="1"/>
      <c r="BCB810" s="1">
        <v>100302.53</v>
      </c>
      <c r="BCC810" s="41">
        <f>13095.23+544.5+254739.02</f>
        <v>268378.75</v>
      </c>
      <c r="BCD810" s="1">
        <f t="shared" ref="BCD810:BDJ810" si="571">BCC810-BCB810</f>
        <v>168076.22</v>
      </c>
      <c r="BCE810" s="1">
        <f t="shared" ref="BCE810:BDK810" si="572">BCB810+BCD810</f>
        <v>268378.75</v>
      </c>
      <c r="BCF810" s="11">
        <v>15320</v>
      </c>
      <c r="BCG810" s="11">
        <v>60900</v>
      </c>
      <c r="BCH810" s="42" t="s">
        <v>937</v>
      </c>
      <c r="BCI810" s="7"/>
      <c r="BCJ810" s="7"/>
      <c r="BCK810" s="7"/>
      <c r="BCL810" s="7"/>
      <c r="BCM810" s="7"/>
      <c r="BCN810" s="1"/>
      <c r="BCO810" s="1"/>
      <c r="BCP810" s="1"/>
      <c r="BCQ810" s="1"/>
      <c r="BCR810" s="7"/>
      <c r="BCS810" s="1"/>
      <c r="BCT810" s="1"/>
      <c r="BCU810" s="1"/>
      <c r="BCV810" s="1"/>
      <c r="BCW810" s="1"/>
      <c r="BCX810" s="1"/>
      <c r="BCY810" s="1"/>
      <c r="BCZ810" s="1"/>
      <c r="BDA810" s="1"/>
      <c r="BDB810" s="1"/>
      <c r="BDC810" s="1"/>
      <c r="BDD810" s="41"/>
      <c r="BDE810" s="1"/>
      <c r="BDF810" s="1"/>
      <c r="BDG810" s="1"/>
      <c r="BDH810" s="1">
        <v>100302.53</v>
      </c>
      <c r="BDI810" s="41">
        <f>13095.23+544.5+254739.02</f>
        <v>268378.75</v>
      </c>
      <c r="BDJ810" s="1">
        <f t="shared" si="571"/>
        <v>168076.22</v>
      </c>
      <c r="BDK810" s="1">
        <f t="shared" si="572"/>
        <v>268378.75</v>
      </c>
      <c r="BDL810" s="11">
        <v>15320</v>
      </c>
      <c r="BDM810" s="11">
        <v>60900</v>
      </c>
      <c r="BDN810" s="42" t="s">
        <v>937</v>
      </c>
      <c r="BDO810" s="7"/>
      <c r="BDP810" s="7"/>
      <c r="BDQ810" s="7"/>
      <c r="BDR810" s="7"/>
      <c r="BDS810" s="7"/>
      <c r="BDT810" s="1"/>
      <c r="BDU810" s="1"/>
      <c r="BDV810" s="1"/>
      <c r="BDW810" s="1"/>
      <c r="BDX810" s="7"/>
      <c r="BDY810" s="1"/>
      <c r="BDZ810" s="1"/>
      <c r="BEA810" s="1"/>
      <c r="BEB810" s="1"/>
      <c r="BEC810" s="1"/>
      <c r="BED810" s="1"/>
      <c r="BEE810" s="1"/>
      <c r="BEF810" s="1"/>
      <c r="BEG810" s="1"/>
      <c r="BEH810" s="1"/>
      <c r="BEI810" s="1"/>
      <c r="BEJ810" s="41"/>
      <c r="BEK810" s="1"/>
      <c r="BEL810" s="1"/>
      <c r="BEM810" s="1"/>
      <c r="BEN810" s="1">
        <v>100302.53</v>
      </c>
      <c r="BEO810" s="41">
        <f>13095.23+544.5+254739.02</f>
        <v>268378.75</v>
      </c>
      <c r="BEP810" s="1">
        <f t="shared" ref="BEP810:BFV810" si="573">BEO810-BEN810</f>
        <v>168076.22</v>
      </c>
      <c r="BEQ810" s="1">
        <f t="shared" ref="BEQ810:BFW810" si="574">BEN810+BEP810</f>
        <v>268378.75</v>
      </c>
      <c r="BER810" s="11">
        <v>15320</v>
      </c>
      <c r="BES810" s="11">
        <v>60900</v>
      </c>
      <c r="BET810" s="42" t="s">
        <v>937</v>
      </c>
      <c r="BEU810" s="7"/>
      <c r="BEV810" s="7"/>
      <c r="BEW810" s="7"/>
      <c r="BEX810" s="7"/>
      <c r="BEY810" s="7"/>
      <c r="BEZ810" s="1"/>
      <c r="BFA810" s="1"/>
      <c r="BFB810" s="1"/>
      <c r="BFC810" s="1"/>
      <c r="BFD810" s="7"/>
      <c r="BFE810" s="1"/>
      <c r="BFF810" s="1"/>
      <c r="BFG810" s="1"/>
      <c r="BFH810" s="1"/>
      <c r="BFI810" s="1"/>
      <c r="BFJ810" s="1"/>
      <c r="BFK810" s="1"/>
      <c r="BFL810" s="1"/>
      <c r="BFM810" s="1"/>
      <c r="BFN810" s="1"/>
      <c r="BFO810" s="1"/>
      <c r="BFP810" s="41"/>
      <c r="BFQ810" s="1"/>
      <c r="BFR810" s="1"/>
      <c r="BFS810" s="1"/>
      <c r="BFT810" s="1">
        <v>100302.53</v>
      </c>
      <c r="BFU810" s="41">
        <f>13095.23+544.5+254739.02</f>
        <v>268378.75</v>
      </c>
      <c r="BFV810" s="1">
        <f t="shared" si="573"/>
        <v>168076.22</v>
      </c>
      <c r="BFW810" s="1">
        <f t="shared" si="574"/>
        <v>268378.75</v>
      </c>
      <c r="BFX810" s="11">
        <v>15320</v>
      </c>
      <c r="BFY810" s="11">
        <v>60900</v>
      </c>
      <c r="BFZ810" s="42" t="s">
        <v>937</v>
      </c>
      <c r="BGA810" s="7"/>
      <c r="BGB810" s="7"/>
      <c r="BGC810" s="7"/>
      <c r="BGD810" s="7"/>
      <c r="BGE810" s="7"/>
      <c r="BGF810" s="1"/>
      <c r="BGG810" s="1"/>
      <c r="BGH810" s="1"/>
      <c r="BGI810" s="1"/>
      <c r="BGJ810" s="7"/>
      <c r="BGK810" s="1"/>
      <c r="BGL810" s="1"/>
      <c r="BGM810" s="1"/>
      <c r="BGN810" s="1"/>
      <c r="BGO810" s="1"/>
      <c r="BGP810" s="1"/>
      <c r="BGQ810" s="1"/>
      <c r="BGR810" s="1"/>
      <c r="BGS810" s="1"/>
      <c r="BGT810" s="1"/>
      <c r="BGU810" s="1"/>
      <c r="BGV810" s="41"/>
      <c r="BGW810" s="1"/>
      <c r="BGX810" s="1"/>
      <c r="BGY810" s="1"/>
      <c r="BGZ810" s="1">
        <v>100302.53</v>
      </c>
      <c r="BHA810" s="41">
        <f>13095.23+544.5+254739.02</f>
        <v>268378.75</v>
      </c>
      <c r="BHB810" s="1">
        <f t="shared" ref="BHB810:BIH810" si="575">BHA810-BGZ810</f>
        <v>168076.22</v>
      </c>
      <c r="BHC810" s="1">
        <f t="shared" ref="BHC810:BII810" si="576">BGZ810+BHB810</f>
        <v>268378.75</v>
      </c>
      <c r="BHD810" s="11">
        <v>15320</v>
      </c>
      <c r="BHE810" s="11">
        <v>60900</v>
      </c>
      <c r="BHF810" s="42" t="s">
        <v>937</v>
      </c>
      <c r="BHG810" s="7"/>
      <c r="BHH810" s="7"/>
      <c r="BHI810" s="7"/>
      <c r="BHJ810" s="7"/>
      <c r="BHK810" s="7"/>
      <c r="BHL810" s="1"/>
      <c r="BHM810" s="1"/>
      <c r="BHN810" s="1"/>
      <c r="BHO810" s="1"/>
      <c r="BHP810" s="7"/>
      <c r="BHQ810" s="1"/>
      <c r="BHR810" s="1"/>
      <c r="BHS810" s="1"/>
      <c r="BHT810" s="1"/>
      <c r="BHU810" s="1"/>
      <c r="BHV810" s="1"/>
      <c r="BHW810" s="1"/>
      <c r="BHX810" s="1"/>
      <c r="BHY810" s="1"/>
      <c r="BHZ810" s="1"/>
      <c r="BIA810" s="1"/>
      <c r="BIB810" s="41"/>
      <c r="BIC810" s="1"/>
      <c r="BID810" s="1"/>
      <c r="BIE810" s="1"/>
      <c r="BIF810" s="1">
        <v>100302.53</v>
      </c>
      <c r="BIG810" s="41">
        <f>13095.23+544.5+254739.02</f>
        <v>268378.75</v>
      </c>
      <c r="BIH810" s="1">
        <f t="shared" si="575"/>
        <v>168076.22</v>
      </c>
      <c r="BII810" s="1">
        <f t="shared" si="576"/>
        <v>268378.75</v>
      </c>
      <c r="BIJ810" s="11">
        <v>15320</v>
      </c>
      <c r="BIK810" s="11">
        <v>60900</v>
      </c>
      <c r="BIL810" s="42" t="s">
        <v>937</v>
      </c>
      <c r="BIM810" s="7"/>
      <c r="BIN810" s="7"/>
      <c r="BIO810" s="7"/>
      <c r="BIP810" s="7"/>
      <c r="BIQ810" s="7"/>
      <c r="BIR810" s="1"/>
      <c r="BIS810" s="1"/>
      <c r="BIT810" s="1"/>
      <c r="BIU810" s="1"/>
      <c r="BIV810" s="7"/>
      <c r="BIW810" s="1"/>
      <c r="BIX810" s="1"/>
      <c r="BIY810" s="1"/>
      <c r="BIZ810" s="1"/>
      <c r="BJA810" s="1"/>
      <c r="BJB810" s="1"/>
      <c r="BJC810" s="1"/>
      <c r="BJD810" s="1"/>
      <c r="BJE810" s="1"/>
      <c r="BJF810" s="1"/>
      <c r="BJG810" s="1"/>
      <c r="BJH810" s="41"/>
      <c r="BJI810" s="1"/>
      <c r="BJJ810" s="1"/>
      <c r="BJK810" s="1"/>
      <c r="BJL810" s="1">
        <v>100302.53</v>
      </c>
      <c r="BJM810" s="41">
        <f>13095.23+544.5+254739.02</f>
        <v>268378.75</v>
      </c>
      <c r="BJN810" s="1">
        <f t="shared" ref="BJN810:BKT810" si="577">BJM810-BJL810</f>
        <v>168076.22</v>
      </c>
      <c r="BJO810" s="1">
        <f t="shared" ref="BJO810:BKU810" si="578">BJL810+BJN810</f>
        <v>268378.75</v>
      </c>
      <c r="BJP810" s="11">
        <v>15320</v>
      </c>
      <c r="BJQ810" s="11">
        <v>60900</v>
      </c>
      <c r="BJR810" s="42" t="s">
        <v>937</v>
      </c>
      <c r="BJS810" s="7"/>
      <c r="BJT810" s="7"/>
      <c r="BJU810" s="7"/>
      <c r="BJV810" s="7"/>
      <c r="BJW810" s="7"/>
      <c r="BJX810" s="1"/>
      <c r="BJY810" s="1"/>
      <c r="BJZ810" s="1"/>
      <c r="BKA810" s="1"/>
      <c r="BKB810" s="7"/>
      <c r="BKC810" s="1"/>
      <c r="BKD810" s="1"/>
      <c r="BKE810" s="1"/>
      <c r="BKF810" s="1"/>
      <c r="BKG810" s="1"/>
      <c r="BKH810" s="1"/>
      <c r="BKI810" s="1"/>
      <c r="BKJ810" s="1"/>
      <c r="BKK810" s="1"/>
      <c r="BKL810" s="1"/>
      <c r="BKM810" s="1"/>
      <c r="BKN810" s="41"/>
      <c r="BKO810" s="1"/>
      <c r="BKP810" s="1"/>
      <c r="BKQ810" s="1"/>
      <c r="BKR810" s="1">
        <v>100302.53</v>
      </c>
      <c r="BKS810" s="41">
        <f>13095.23+544.5+254739.02</f>
        <v>268378.75</v>
      </c>
      <c r="BKT810" s="1">
        <f t="shared" si="577"/>
        <v>168076.22</v>
      </c>
      <c r="BKU810" s="1">
        <f t="shared" si="578"/>
        <v>268378.75</v>
      </c>
      <c r="BKV810" s="11">
        <v>15320</v>
      </c>
      <c r="BKW810" s="11">
        <v>60900</v>
      </c>
      <c r="BKX810" s="42" t="s">
        <v>937</v>
      </c>
      <c r="BKY810" s="7"/>
      <c r="BKZ810" s="7"/>
      <c r="BLA810" s="7"/>
      <c r="BLB810" s="7"/>
      <c r="BLC810" s="7"/>
      <c r="BLD810" s="1"/>
      <c r="BLE810" s="1"/>
      <c r="BLF810" s="1"/>
      <c r="BLG810" s="1"/>
      <c r="BLH810" s="7"/>
      <c r="BLI810" s="1"/>
      <c r="BLJ810" s="1"/>
      <c r="BLK810" s="1"/>
      <c r="BLL810" s="1"/>
      <c r="BLM810" s="1"/>
      <c r="BLN810" s="1"/>
      <c r="BLO810" s="1"/>
      <c r="BLP810" s="1"/>
      <c r="BLQ810" s="1"/>
      <c r="BLR810" s="1"/>
      <c r="BLS810" s="1"/>
      <c r="BLT810" s="41"/>
      <c r="BLU810" s="1"/>
      <c r="BLV810" s="1"/>
      <c r="BLW810" s="1"/>
      <c r="BLX810" s="1">
        <v>100302.53</v>
      </c>
      <c r="BLY810" s="41">
        <f>13095.23+544.5+254739.02</f>
        <v>268378.75</v>
      </c>
      <c r="BLZ810" s="1">
        <f t="shared" ref="BLZ810:BNF810" si="579">BLY810-BLX810</f>
        <v>168076.22</v>
      </c>
      <c r="BMA810" s="1">
        <f t="shared" ref="BMA810:BNG810" si="580">BLX810+BLZ810</f>
        <v>268378.75</v>
      </c>
      <c r="BMB810" s="11">
        <v>15320</v>
      </c>
      <c r="BMC810" s="11">
        <v>60900</v>
      </c>
      <c r="BMD810" s="42" t="s">
        <v>937</v>
      </c>
      <c r="BME810" s="7"/>
      <c r="BMF810" s="7"/>
      <c r="BMG810" s="7"/>
      <c r="BMH810" s="7"/>
      <c r="BMI810" s="7"/>
      <c r="BMJ810" s="1"/>
      <c r="BMK810" s="1"/>
      <c r="BML810" s="1"/>
      <c r="BMM810" s="1"/>
      <c r="BMN810" s="7"/>
      <c r="BMO810" s="1"/>
      <c r="BMP810" s="1"/>
      <c r="BMQ810" s="1"/>
      <c r="BMR810" s="1"/>
      <c r="BMS810" s="1"/>
      <c r="BMT810" s="1"/>
      <c r="BMU810" s="1"/>
      <c r="BMV810" s="1"/>
      <c r="BMW810" s="1"/>
      <c r="BMX810" s="1"/>
      <c r="BMY810" s="1"/>
      <c r="BMZ810" s="41"/>
      <c r="BNA810" s="1"/>
      <c r="BNB810" s="1"/>
      <c r="BNC810" s="1"/>
      <c r="BND810" s="1">
        <v>100302.53</v>
      </c>
      <c r="BNE810" s="41">
        <f>13095.23+544.5+254739.02</f>
        <v>268378.75</v>
      </c>
      <c r="BNF810" s="1">
        <f t="shared" si="579"/>
        <v>168076.22</v>
      </c>
      <c r="BNG810" s="1">
        <f t="shared" si="580"/>
        <v>268378.75</v>
      </c>
      <c r="BNH810" s="11">
        <v>15320</v>
      </c>
      <c r="BNI810" s="11">
        <v>60900</v>
      </c>
      <c r="BNJ810" s="42" t="s">
        <v>937</v>
      </c>
      <c r="BNK810" s="7"/>
      <c r="BNL810" s="7"/>
      <c r="BNM810" s="7"/>
      <c r="BNN810" s="7"/>
      <c r="BNO810" s="7"/>
      <c r="BNP810" s="1"/>
      <c r="BNQ810" s="1"/>
      <c r="BNR810" s="1"/>
      <c r="BNS810" s="1"/>
      <c r="BNT810" s="7"/>
      <c r="BNU810" s="1"/>
      <c r="BNV810" s="1"/>
      <c r="BNW810" s="1"/>
      <c r="BNX810" s="1"/>
      <c r="BNY810" s="1"/>
      <c r="BNZ810" s="1"/>
      <c r="BOA810" s="1"/>
      <c r="BOB810" s="1"/>
      <c r="BOC810" s="1"/>
      <c r="BOD810" s="1"/>
      <c r="BOE810" s="1"/>
      <c r="BOF810" s="41"/>
      <c r="BOG810" s="1"/>
      <c r="BOH810" s="1"/>
      <c r="BOI810" s="1"/>
      <c r="BOJ810" s="1">
        <v>100302.53</v>
      </c>
      <c r="BOK810" s="41">
        <f>13095.23+544.5+254739.02</f>
        <v>268378.75</v>
      </c>
      <c r="BOL810" s="1">
        <f t="shared" ref="BOL810:BPR810" si="581">BOK810-BOJ810</f>
        <v>168076.22</v>
      </c>
      <c r="BOM810" s="1">
        <f t="shared" ref="BOM810:BPS810" si="582">BOJ810+BOL810</f>
        <v>268378.75</v>
      </c>
      <c r="BON810" s="11">
        <v>15320</v>
      </c>
      <c r="BOO810" s="11">
        <v>60900</v>
      </c>
      <c r="BOP810" s="42" t="s">
        <v>937</v>
      </c>
      <c r="BOQ810" s="7"/>
      <c r="BOR810" s="7"/>
      <c r="BOS810" s="7"/>
      <c r="BOT810" s="7"/>
      <c r="BOU810" s="7"/>
      <c r="BOV810" s="1"/>
      <c r="BOW810" s="1"/>
      <c r="BOX810" s="1"/>
      <c r="BOY810" s="1"/>
      <c r="BOZ810" s="7"/>
      <c r="BPA810" s="1"/>
      <c r="BPB810" s="1"/>
      <c r="BPC810" s="1"/>
      <c r="BPD810" s="1"/>
      <c r="BPE810" s="1"/>
      <c r="BPF810" s="1"/>
      <c r="BPG810" s="1"/>
      <c r="BPH810" s="1"/>
      <c r="BPI810" s="1"/>
      <c r="BPJ810" s="1"/>
      <c r="BPK810" s="1"/>
      <c r="BPL810" s="41"/>
      <c r="BPM810" s="1"/>
      <c r="BPN810" s="1"/>
      <c r="BPO810" s="1"/>
      <c r="BPP810" s="1">
        <v>100302.53</v>
      </c>
      <c r="BPQ810" s="41">
        <f>13095.23+544.5+254739.02</f>
        <v>268378.75</v>
      </c>
      <c r="BPR810" s="1">
        <f t="shared" si="581"/>
        <v>168076.22</v>
      </c>
      <c r="BPS810" s="1">
        <f t="shared" si="582"/>
        <v>268378.75</v>
      </c>
      <c r="BPT810" s="11">
        <v>15320</v>
      </c>
      <c r="BPU810" s="11">
        <v>60900</v>
      </c>
      <c r="BPV810" s="42" t="s">
        <v>937</v>
      </c>
      <c r="BPW810" s="7"/>
      <c r="BPX810" s="7"/>
      <c r="BPY810" s="7"/>
      <c r="BPZ810" s="7"/>
      <c r="BQA810" s="7"/>
      <c r="BQB810" s="1"/>
      <c r="BQC810" s="1"/>
      <c r="BQD810" s="1"/>
      <c r="BQE810" s="1"/>
      <c r="BQF810" s="7"/>
      <c r="BQG810" s="1"/>
      <c r="BQH810" s="1"/>
      <c r="BQI810" s="1"/>
      <c r="BQJ810" s="1"/>
      <c r="BQK810" s="1"/>
      <c r="BQL810" s="1"/>
      <c r="BQM810" s="1"/>
      <c r="BQN810" s="1"/>
      <c r="BQO810" s="1"/>
      <c r="BQP810" s="1"/>
      <c r="BQQ810" s="1"/>
      <c r="BQR810" s="41"/>
      <c r="BQS810" s="1"/>
      <c r="BQT810" s="1"/>
      <c r="BQU810" s="1"/>
      <c r="BQV810" s="1">
        <v>100302.53</v>
      </c>
      <c r="BQW810" s="41">
        <f>13095.23+544.5+254739.02</f>
        <v>268378.75</v>
      </c>
      <c r="BQX810" s="1">
        <f t="shared" ref="BQX810:BSD810" si="583">BQW810-BQV810</f>
        <v>168076.22</v>
      </c>
      <c r="BQY810" s="1">
        <f t="shared" ref="BQY810:BSE810" si="584">BQV810+BQX810</f>
        <v>268378.75</v>
      </c>
      <c r="BQZ810" s="11">
        <v>15320</v>
      </c>
      <c r="BRA810" s="11">
        <v>60900</v>
      </c>
      <c r="BRB810" s="42" t="s">
        <v>937</v>
      </c>
      <c r="BRC810" s="7"/>
      <c r="BRD810" s="7"/>
      <c r="BRE810" s="7"/>
      <c r="BRF810" s="7"/>
      <c r="BRG810" s="7"/>
      <c r="BRH810" s="1"/>
      <c r="BRI810" s="1"/>
      <c r="BRJ810" s="1"/>
      <c r="BRK810" s="1"/>
      <c r="BRL810" s="7"/>
      <c r="BRM810" s="1"/>
      <c r="BRN810" s="1"/>
      <c r="BRO810" s="1"/>
      <c r="BRP810" s="1"/>
      <c r="BRQ810" s="1"/>
      <c r="BRR810" s="1"/>
      <c r="BRS810" s="1"/>
      <c r="BRT810" s="1"/>
      <c r="BRU810" s="1"/>
      <c r="BRV810" s="1"/>
      <c r="BRW810" s="1"/>
      <c r="BRX810" s="41"/>
      <c r="BRY810" s="1"/>
      <c r="BRZ810" s="1"/>
      <c r="BSA810" s="1"/>
      <c r="BSB810" s="1">
        <v>100302.53</v>
      </c>
      <c r="BSC810" s="41">
        <f>13095.23+544.5+254739.02</f>
        <v>268378.75</v>
      </c>
      <c r="BSD810" s="1">
        <f t="shared" si="583"/>
        <v>168076.22</v>
      </c>
      <c r="BSE810" s="1">
        <f t="shared" si="584"/>
        <v>268378.75</v>
      </c>
      <c r="BSF810" s="11">
        <v>15320</v>
      </c>
      <c r="BSG810" s="11">
        <v>60900</v>
      </c>
      <c r="BSH810" s="42" t="s">
        <v>937</v>
      </c>
      <c r="BSI810" s="7"/>
      <c r="BSJ810" s="7"/>
      <c r="BSK810" s="7"/>
      <c r="BSL810" s="7"/>
      <c r="BSM810" s="7"/>
      <c r="BSN810" s="1"/>
      <c r="BSO810" s="1"/>
      <c r="BSP810" s="1"/>
      <c r="BSQ810" s="1"/>
      <c r="BSR810" s="7"/>
      <c r="BSS810" s="1"/>
      <c r="BST810" s="1"/>
      <c r="BSU810" s="1"/>
      <c r="BSV810" s="1"/>
      <c r="BSW810" s="1"/>
      <c r="BSX810" s="1"/>
      <c r="BSY810" s="1"/>
      <c r="BSZ810" s="1"/>
      <c r="BTA810" s="1"/>
      <c r="BTB810" s="1"/>
      <c r="BTC810" s="1"/>
      <c r="BTD810" s="41"/>
      <c r="BTE810" s="1"/>
      <c r="BTF810" s="1"/>
      <c r="BTG810" s="1"/>
      <c r="BTH810" s="1">
        <v>100302.53</v>
      </c>
      <c r="BTI810" s="41">
        <f>13095.23+544.5+254739.02</f>
        <v>268378.75</v>
      </c>
      <c r="BTJ810" s="1">
        <f t="shared" ref="BTJ810:BUP810" si="585">BTI810-BTH810</f>
        <v>168076.22</v>
      </c>
      <c r="BTK810" s="1">
        <f t="shared" ref="BTK810:BUQ810" si="586">BTH810+BTJ810</f>
        <v>268378.75</v>
      </c>
      <c r="BTL810" s="11">
        <v>15320</v>
      </c>
      <c r="BTM810" s="11">
        <v>60900</v>
      </c>
      <c r="BTN810" s="42" t="s">
        <v>937</v>
      </c>
      <c r="BTO810" s="7"/>
      <c r="BTP810" s="7"/>
      <c r="BTQ810" s="7"/>
      <c r="BTR810" s="7"/>
      <c r="BTS810" s="7"/>
      <c r="BTT810" s="1"/>
      <c r="BTU810" s="1"/>
      <c r="BTV810" s="1"/>
      <c r="BTW810" s="1"/>
      <c r="BTX810" s="7"/>
      <c r="BTY810" s="1"/>
      <c r="BTZ810" s="1"/>
      <c r="BUA810" s="1"/>
      <c r="BUB810" s="1"/>
      <c r="BUC810" s="1"/>
      <c r="BUD810" s="1"/>
      <c r="BUE810" s="1"/>
      <c r="BUF810" s="1"/>
      <c r="BUG810" s="1"/>
      <c r="BUH810" s="1"/>
      <c r="BUI810" s="1"/>
      <c r="BUJ810" s="41"/>
      <c r="BUK810" s="1"/>
      <c r="BUL810" s="1"/>
      <c r="BUM810" s="1"/>
      <c r="BUN810" s="1">
        <v>100302.53</v>
      </c>
      <c r="BUO810" s="41">
        <f>13095.23+544.5+254739.02</f>
        <v>268378.75</v>
      </c>
      <c r="BUP810" s="1">
        <f t="shared" si="585"/>
        <v>168076.22</v>
      </c>
      <c r="BUQ810" s="1">
        <f t="shared" si="586"/>
        <v>268378.75</v>
      </c>
      <c r="BUR810" s="11">
        <v>15320</v>
      </c>
      <c r="BUS810" s="11">
        <v>60900</v>
      </c>
      <c r="BUT810" s="42" t="s">
        <v>937</v>
      </c>
      <c r="BUU810" s="7"/>
      <c r="BUV810" s="7"/>
      <c r="BUW810" s="7"/>
      <c r="BUX810" s="7"/>
      <c r="BUY810" s="7"/>
      <c r="BUZ810" s="1"/>
      <c r="BVA810" s="1"/>
      <c r="BVB810" s="1"/>
      <c r="BVC810" s="1"/>
      <c r="BVD810" s="7"/>
      <c r="BVE810" s="1"/>
      <c r="BVF810" s="1"/>
      <c r="BVG810" s="1"/>
      <c r="BVH810" s="1"/>
      <c r="BVI810" s="1"/>
      <c r="BVJ810" s="1"/>
      <c r="BVK810" s="1"/>
      <c r="BVL810" s="1"/>
      <c r="BVM810" s="1"/>
      <c r="BVN810" s="1"/>
      <c r="BVO810" s="1"/>
      <c r="BVP810" s="41"/>
      <c r="BVQ810" s="1"/>
      <c r="BVR810" s="1"/>
      <c r="BVS810" s="1"/>
      <c r="BVT810" s="1">
        <v>100302.53</v>
      </c>
      <c r="BVU810" s="41">
        <f>13095.23+544.5+254739.02</f>
        <v>268378.75</v>
      </c>
      <c r="BVV810" s="1">
        <f t="shared" ref="BVV810:BXB810" si="587">BVU810-BVT810</f>
        <v>168076.22</v>
      </c>
      <c r="BVW810" s="1">
        <f t="shared" ref="BVW810:BXC810" si="588">BVT810+BVV810</f>
        <v>268378.75</v>
      </c>
      <c r="BVX810" s="11">
        <v>15320</v>
      </c>
      <c r="BVY810" s="11">
        <v>60900</v>
      </c>
      <c r="BVZ810" s="42" t="s">
        <v>937</v>
      </c>
      <c r="BWA810" s="7"/>
      <c r="BWB810" s="7"/>
      <c r="BWC810" s="7"/>
      <c r="BWD810" s="7"/>
      <c r="BWE810" s="7"/>
      <c r="BWF810" s="1"/>
      <c r="BWG810" s="1"/>
      <c r="BWH810" s="1"/>
      <c r="BWI810" s="1"/>
      <c r="BWJ810" s="7"/>
      <c r="BWK810" s="1"/>
      <c r="BWL810" s="1"/>
      <c r="BWM810" s="1"/>
      <c r="BWN810" s="1"/>
      <c r="BWO810" s="1"/>
      <c r="BWP810" s="1"/>
      <c r="BWQ810" s="1"/>
      <c r="BWR810" s="1"/>
      <c r="BWS810" s="1"/>
      <c r="BWT810" s="1"/>
      <c r="BWU810" s="1"/>
      <c r="BWV810" s="41"/>
      <c r="BWW810" s="1"/>
      <c r="BWX810" s="1"/>
      <c r="BWY810" s="1"/>
      <c r="BWZ810" s="1">
        <v>100302.53</v>
      </c>
      <c r="BXA810" s="41">
        <f>13095.23+544.5+254739.02</f>
        <v>268378.75</v>
      </c>
      <c r="BXB810" s="1">
        <f t="shared" si="587"/>
        <v>168076.22</v>
      </c>
      <c r="BXC810" s="1">
        <f t="shared" si="588"/>
        <v>268378.75</v>
      </c>
      <c r="BXD810" s="11">
        <v>15320</v>
      </c>
      <c r="BXE810" s="11">
        <v>60900</v>
      </c>
      <c r="BXF810" s="42" t="s">
        <v>937</v>
      </c>
      <c r="BXG810" s="7"/>
      <c r="BXH810" s="7"/>
      <c r="BXI810" s="7"/>
      <c r="BXJ810" s="7"/>
      <c r="BXK810" s="7"/>
      <c r="BXL810" s="1"/>
      <c r="BXM810" s="1"/>
      <c r="BXN810" s="1"/>
      <c r="BXO810" s="1"/>
      <c r="BXP810" s="7"/>
      <c r="BXQ810" s="1"/>
      <c r="BXR810" s="1"/>
      <c r="BXS810" s="1"/>
      <c r="BXT810" s="1"/>
      <c r="BXU810" s="1"/>
      <c r="BXV810" s="1"/>
      <c r="BXW810" s="1"/>
      <c r="BXX810" s="1"/>
      <c r="BXY810" s="1"/>
      <c r="BXZ810" s="1"/>
      <c r="BYA810" s="1"/>
      <c r="BYB810" s="41"/>
      <c r="BYC810" s="1"/>
      <c r="BYD810" s="1"/>
      <c r="BYE810" s="1"/>
      <c r="BYF810" s="1">
        <v>100302.53</v>
      </c>
      <c r="BYG810" s="41">
        <f>13095.23+544.5+254739.02</f>
        <v>268378.75</v>
      </c>
      <c r="BYH810" s="1">
        <f t="shared" ref="BYH810:BZN810" si="589">BYG810-BYF810</f>
        <v>168076.22</v>
      </c>
      <c r="BYI810" s="1">
        <f t="shared" ref="BYI810:BZO810" si="590">BYF810+BYH810</f>
        <v>268378.75</v>
      </c>
      <c r="BYJ810" s="11">
        <v>15320</v>
      </c>
      <c r="BYK810" s="11">
        <v>60900</v>
      </c>
      <c r="BYL810" s="42" t="s">
        <v>937</v>
      </c>
      <c r="BYM810" s="7"/>
      <c r="BYN810" s="7"/>
      <c r="BYO810" s="7"/>
      <c r="BYP810" s="7"/>
      <c r="BYQ810" s="7"/>
      <c r="BYR810" s="1"/>
      <c r="BYS810" s="1"/>
      <c r="BYT810" s="1"/>
      <c r="BYU810" s="1"/>
      <c r="BYV810" s="7"/>
      <c r="BYW810" s="1"/>
      <c r="BYX810" s="1"/>
      <c r="BYY810" s="1"/>
      <c r="BYZ810" s="1"/>
      <c r="BZA810" s="1"/>
      <c r="BZB810" s="1"/>
      <c r="BZC810" s="1"/>
      <c r="BZD810" s="1"/>
      <c r="BZE810" s="1"/>
      <c r="BZF810" s="1"/>
      <c r="BZG810" s="1"/>
      <c r="BZH810" s="41"/>
      <c r="BZI810" s="1"/>
      <c r="BZJ810" s="1"/>
      <c r="BZK810" s="1"/>
      <c r="BZL810" s="1">
        <v>100302.53</v>
      </c>
      <c r="BZM810" s="41">
        <f>13095.23+544.5+254739.02</f>
        <v>268378.75</v>
      </c>
      <c r="BZN810" s="1">
        <f t="shared" si="589"/>
        <v>168076.22</v>
      </c>
      <c r="BZO810" s="1">
        <f t="shared" si="590"/>
        <v>268378.75</v>
      </c>
      <c r="BZP810" s="11">
        <v>15320</v>
      </c>
      <c r="BZQ810" s="11">
        <v>60900</v>
      </c>
      <c r="BZR810" s="42" t="s">
        <v>937</v>
      </c>
      <c r="BZS810" s="7"/>
      <c r="BZT810" s="7"/>
      <c r="BZU810" s="7"/>
      <c r="BZV810" s="7"/>
      <c r="BZW810" s="7"/>
      <c r="BZX810" s="1"/>
      <c r="BZY810" s="1"/>
      <c r="BZZ810" s="1"/>
      <c r="CAA810" s="1"/>
      <c r="CAB810" s="7"/>
      <c r="CAC810" s="1"/>
      <c r="CAD810" s="1"/>
      <c r="CAE810" s="1"/>
      <c r="CAF810" s="1"/>
      <c r="CAG810" s="1"/>
      <c r="CAH810" s="1"/>
      <c r="CAI810" s="1"/>
      <c r="CAJ810" s="1"/>
      <c r="CAK810" s="1"/>
      <c r="CAL810" s="1"/>
      <c r="CAM810" s="1"/>
      <c r="CAN810" s="41"/>
      <c r="CAO810" s="1"/>
      <c r="CAP810" s="1"/>
      <c r="CAQ810" s="1"/>
      <c r="CAR810" s="1">
        <v>100302.53</v>
      </c>
      <c r="CAS810" s="41">
        <f>13095.23+544.5+254739.02</f>
        <v>268378.75</v>
      </c>
      <c r="CAT810" s="1">
        <f t="shared" ref="CAT810:CBZ810" si="591">CAS810-CAR810</f>
        <v>168076.22</v>
      </c>
      <c r="CAU810" s="1">
        <f t="shared" ref="CAU810:CCA810" si="592">CAR810+CAT810</f>
        <v>268378.75</v>
      </c>
      <c r="CAV810" s="11">
        <v>15320</v>
      </c>
      <c r="CAW810" s="11">
        <v>60900</v>
      </c>
      <c r="CAX810" s="42" t="s">
        <v>937</v>
      </c>
      <c r="CAY810" s="7"/>
      <c r="CAZ810" s="7"/>
      <c r="CBA810" s="7"/>
      <c r="CBB810" s="7"/>
      <c r="CBC810" s="7"/>
      <c r="CBD810" s="1"/>
      <c r="CBE810" s="1"/>
      <c r="CBF810" s="1"/>
      <c r="CBG810" s="1"/>
      <c r="CBH810" s="7"/>
      <c r="CBI810" s="1"/>
      <c r="CBJ810" s="1"/>
      <c r="CBK810" s="1"/>
      <c r="CBL810" s="1"/>
      <c r="CBM810" s="1"/>
      <c r="CBN810" s="1"/>
      <c r="CBO810" s="1"/>
      <c r="CBP810" s="1"/>
      <c r="CBQ810" s="1"/>
      <c r="CBR810" s="1"/>
      <c r="CBS810" s="1"/>
      <c r="CBT810" s="41"/>
      <c r="CBU810" s="1"/>
      <c r="CBV810" s="1"/>
      <c r="CBW810" s="1"/>
      <c r="CBX810" s="1">
        <v>100302.53</v>
      </c>
      <c r="CBY810" s="41">
        <f>13095.23+544.5+254739.02</f>
        <v>268378.75</v>
      </c>
      <c r="CBZ810" s="1">
        <f t="shared" si="591"/>
        <v>168076.22</v>
      </c>
      <c r="CCA810" s="1">
        <f t="shared" si="592"/>
        <v>268378.75</v>
      </c>
      <c r="CCB810" s="11">
        <v>15320</v>
      </c>
      <c r="CCC810" s="11">
        <v>60900</v>
      </c>
      <c r="CCD810" s="42" t="s">
        <v>937</v>
      </c>
      <c r="CCE810" s="7"/>
      <c r="CCF810" s="7"/>
      <c r="CCG810" s="7"/>
      <c r="CCH810" s="7"/>
      <c r="CCI810" s="7"/>
      <c r="CCJ810" s="1"/>
      <c r="CCK810" s="1"/>
      <c r="CCL810" s="1"/>
      <c r="CCM810" s="1"/>
      <c r="CCN810" s="7"/>
      <c r="CCO810" s="1"/>
      <c r="CCP810" s="1"/>
      <c r="CCQ810" s="1"/>
      <c r="CCR810" s="1"/>
      <c r="CCS810" s="1"/>
      <c r="CCT810" s="1"/>
      <c r="CCU810" s="1"/>
      <c r="CCV810" s="1"/>
      <c r="CCW810" s="1"/>
      <c r="CCX810" s="1"/>
      <c r="CCY810" s="1"/>
      <c r="CCZ810" s="41"/>
      <c r="CDA810" s="1"/>
      <c r="CDB810" s="1"/>
      <c r="CDC810" s="1"/>
      <c r="CDD810" s="1">
        <v>100302.53</v>
      </c>
      <c r="CDE810" s="41">
        <f>13095.23+544.5+254739.02</f>
        <v>268378.75</v>
      </c>
      <c r="CDF810" s="1">
        <f t="shared" ref="CDF810:CEL810" si="593">CDE810-CDD810</f>
        <v>168076.22</v>
      </c>
      <c r="CDG810" s="1">
        <f t="shared" ref="CDG810:CEM810" si="594">CDD810+CDF810</f>
        <v>268378.75</v>
      </c>
      <c r="CDH810" s="11">
        <v>15320</v>
      </c>
      <c r="CDI810" s="11">
        <v>60900</v>
      </c>
      <c r="CDJ810" s="42" t="s">
        <v>937</v>
      </c>
      <c r="CDK810" s="7"/>
      <c r="CDL810" s="7"/>
      <c r="CDM810" s="7"/>
      <c r="CDN810" s="7"/>
      <c r="CDO810" s="7"/>
      <c r="CDP810" s="1"/>
      <c r="CDQ810" s="1"/>
      <c r="CDR810" s="1"/>
      <c r="CDS810" s="1"/>
      <c r="CDT810" s="7"/>
      <c r="CDU810" s="1"/>
      <c r="CDV810" s="1"/>
      <c r="CDW810" s="1"/>
      <c r="CDX810" s="1"/>
      <c r="CDY810" s="1"/>
      <c r="CDZ810" s="1"/>
      <c r="CEA810" s="1"/>
      <c r="CEB810" s="1"/>
      <c r="CEC810" s="1"/>
      <c r="CED810" s="1"/>
      <c r="CEE810" s="1"/>
      <c r="CEF810" s="41"/>
      <c r="CEG810" s="1"/>
      <c r="CEH810" s="1"/>
      <c r="CEI810" s="1"/>
      <c r="CEJ810" s="1">
        <v>100302.53</v>
      </c>
      <c r="CEK810" s="41">
        <f>13095.23+544.5+254739.02</f>
        <v>268378.75</v>
      </c>
      <c r="CEL810" s="1">
        <f t="shared" si="593"/>
        <v>168076.22</v>
      </c>
      <c r="CEM810" s="1">
        <f t="shared" si="594"/>
        <v>268378.75</v>
      </c>
      <c r="CEN810" s="11">
        <v>15320</v>
      </c>
      <c r="CEO810" s="11">
        <v>60900</v>
      </c>
      <c r="CEP810" s="42" t="s">
        <v>937</v>
      </c>
      <c r="CEQ810" s="7"/>
      <c r="CER810" s="7"/>
      <c r="CES810" s="7"/>
      <c r="CET810" s="7"/>
      <c r="CEU810" s="7"/>
      <c r="CEV810" s="1"/>
      <c r="CEW810" s="1"/>
      <c r="CEX810" s="1"/>
      <c r="CEY810" s="1"/>
      <c r="CEZ810" s="7"/>
      <c r="CFA810" s="1"/>
      <c r="CFB810" s="1"/>
      <c r="CFC810" s="1"/>
      <c r="CFD810" s="1"/>
      <c r="CFE810" s="1"/>
      <c r="CFF810" s="1"/>
      <c r="CFG810" s="1"/>
      <c r="CFH810" s="1"/>
      <c r="CFI810" s="1"/>
      <c r="CFJ810" s="1"/>
      <c r="CFK810" s="1"/>
      <c r="CFL810" s="41"/>
      <c r="CFM810" s="1"/>
      <c r="CFN810" s="1"/>
      <c r="CFO810" s="1"/>
      <c r="CFP810" s="1">
        <v>100302.53</v>
      </c>
      <c r="CFQ810" s="41">
        <f>13095.23+544.5+254739.02</f>
        <v>268378.75</v>
      </c>
      <c r="CFR810" s="1">
        <f t="shared" ref="CFR810:CGX810" si="595">CFQ810-CFP810</f>
        <v>168076.22</v>
      </c>
      <c r="CFS810" s="1">
        <f t="shared" ref="CFS810:CGY810" si="596">CFP810+CFR810</f>
        <v>268378.75</v>
      </c>
      <c r="CFT810" s="11">
        <v>15320</v>
      </c>
      <c r="CFU810" s="11">
        <v>60900</v>
      </c>
      <c r="CFV810" s="42" t="s">
        <v>937</v>
      </c>
      <c r="CFW810" s="7"/>
      <c r="CFX810" s="7"/>
      <c r="CFY810" s="7"/>
      <c r="CFZ810" s="7"/>
      <c r="CGA810" s="7"/>
      <c r="CGB810" s="1"/>
      <c r="CGC810" s="1"/>
      <c r="CGD810" s="1"/>
      <c r="CGE810" s="1"/>
      <c r="CGF810" s="7"/>
      <c r="CGG810" s="1"/>
      <c r="CGH810" s="1"/>
      <c r="CGI810" s="1"/>
      <c r="CGJ810" s="1"/>
      <c r="CGK810" s="1"/>
      <c r="CGL810" s="1"/>
      <c r="CGM810" s="1"/>
      <c r="CGN810" s="1"/>
      <c r="CGO810" s="1"/>
      <c r="CGP810" s="1"/>
      <c r="CGQ810" s="1"/>
      <c r="CGR810" s="41"/>
      <c r="CGS810" s="1"/>
      <c r="CGT810" s="1"/>
      <c r="CGU810" s="1"/>
      <c r="CGV810" s="1">
        <v>100302.53</v>
      </c>
      <c r="CGW810" s="41">
        <f>13095.23+544.5+254739.02</f>
        <v>268378.75</v>
      </c>
      <c r="CGX810" s="1">
        <f t="shared" si="595"/>
        <v>168076.22</v>
      </c>
      <c r="CGY810" s="1">
        <f t="shared" si="596"/>
        <v>268378.75</v>
      </c>
      <c r="CGZ810" s="11">
        <v>15320</v>
      </c>
      <c r="CHA810" s="11">
        <v>60900</v>
      </c>
      <c r="CHB810" s="42" t="s">
        <v>937</v>
      </c>
      <c r="CHC810" s="7"/>
      <c r="CHD810" s="7"/>
      <c r="CHE810" s="7"/>
      <c r="CHF810" s="7"/>
      <c r="CHG810" s="7"/>
      <c r="CHH810" s="1"/>
      <c r="CHI810" s="1"/>
      <c r="CHJ810" s="1"/>
      <c r="CHK810" s="1"/>
      <c r="CHL810" s="7"/>
      <c r="CHM810" s="1"/>
      <c r="CHN810" s="1"/>
      <c r="CHO810" s="1"/>
      <c r="CHP810" s="1"/>
      <c r="CHQ810" s="1"/>
      <c r="CHR810" s="1"/>
      <c r="CHS810" s="1"/>
      <c r="CHT810" s="1"/>
      <c r="CHU810" s="1"/>
      <c r="CHV810" s="1"/>
      <c r="CHW810" s="1"/>
      <c r="CHX810" s="41"/>
      <c r="CHY810" s="1"/>
      <c r="CHZ810" s="1"/>
      <c r="CIA810" s="1"/>
      <c r="CIB810" s="1">
        <v>100302.53</v>
      </c>
      <c r="CIC810" s="41">
        <f>13095.23+544.5+254739.02</f>
        <v>268378.75</v>
      </c>
      <c r="CID810" s="1">
        <f t="shared" ref="CID810:CJJ810" si="597">CIC810-CIB810</f>
        <v>168076.22</v>
      </c>
      <c r="CIE810" s="1">
        <f t="shared" ref="CIE810:CJK810" si="598">CIB810+CID810</f>
        <v>268378.75</v>
      </c>
      <c r="CIF810" s="11">
        <v>15320</v>
      </c>
      <c r="CIG810" s="11">
        <v>60900</v>
      </c>
      <c r="CIH810" s="42" t="s">
        <v>937</v>
      </c>
      <c r="CII810" s="7"/>
      <c r="CIJ810" s="7"/>
      <c r="CIK810" s="7"/>
      <c r="CIL810" s="7"/>
      <c r="CIM810" s="7"/>
      <c r="CIN810" s="1"/>
      <c r="CIO810" s="1"/>
      <c r="CIP810" s="1"/>
      <c r="CIQ810" s="1"/>
      <c r="CIR810" s="7"/>
      <c r="CIS810" s="1"/>
      <c r="CIT810" s="1"/>
      <c r="CIU810" s="1"/>
      <c r="CIV810" s="1"/>
      <c r="CIW810" s="1"/>
      <c r="CIX810" s="1"/>
      <c r="CIY810" s="1"/>
      <c r="CIZ810" s="1"/>
      <c r="CJA810" s="1"/>
      <c r="CJB810" s="1"/>
      <c r="CJC810" s="1"/>
      <c r="CJD810" s="41"/>
      <c r="CJE810" s="1"/>
      <c r="CJF810" s="1"/>
      <c r="CJG810" s="1"/>
      <c r="CJH810" s="1">
        <v>100302.53</v>
      </c>
      <c r="CJI810" s="41">
        <f>13095.23+544.5+254739.02</f>
        <v>268378.75</v>
      </c>
      <c r="CJJ810" s="1">
        <f t="shared" si="597"/>
        <v>168076.22</v>
      </c>
      <c r="CJK810" s="1">
        <f t="shared" si="598"/>
        <v>268378.75</v>
      </c>
      <c r="CJL810" s="11">
        <v>15320</v>
      </c>
      <c r="CJM810" s="11">
        <v>60900</v>
      </c>
      <c r="CJN810" s="42" t="s">
        <v>937</v>
      </c>
      <c r="CJO810" s="7"/>
      <c r="CJP810" s="7"/>
      <c r="CJQ810" s="7"/>
      <c r="CJR810" s="7"/>
      <c r="CJS810" s="7"/>
      <c r="CJT810" s="1"/>
      <c r="CJU810" s="1"/>
      <c r="CJV810" s="1"/>
      <c r="CJW810" s="1"/>
      <c r="CJX810" s="7"/>
      <c r="CJY810" s="1"/>
      <c r="CJZ810" s="1"/>
      <c r="CKA810" s="1"/>
      <c r="CKB810" s="1"/>
      <c r="CKC810" s="1"/>
      <c r="CKD810" s="1"/>
      <c r="CKE810" s="1"/>
      <c r="CKF810" s="1"/>
      <c r="CKG810" s="1"/>
      <c r="CKH810" s="1"/>
      <c r="CKI810" s="1"/>
      <c r="CKJ810" s="41"/>
      <c r="CKK810" s="1"/>
      <c r="CKL810" s="1"/>
      <c r="CKM810" s="1"/>
      <c r="CKN810" s="1">
        <v>100302.53</v>
      </c>
      <c r="CKO810" s="41">
        <f>13095.23+544.5+254739.02</f>
        <v>268378.75</v>
      </c>
      <c r="CKP810" s="1">
        <f t="shared" ref="CKP810:CLV810" si="599">CKO810-CKN810</f>
        <v>168076.22</v>
      </c>
      <c r="CKQ810" s="1">
        <f t="shared" ref="CKQ810:CLW810" si="600">CKN810+CKP810</f>
        <v>268378.75</v>
      </c>
      <c r="CKR810" s="11">
        <v>15320</v>
      </c>
      <c r="CKS810" s="11">
        <v>60900</v>
      </c>
      <c r="CKT810" s="42" t="s">
        <v>937</v>
      </c>
      <c r="CKU810" s="7"/>
      <c r="CKV810" s="7"/>
      <c r="CKW810" s="7"/>
      <c r="CKX810" s="7"/>
      <c r="CKY810" s="7"/>
      <c r="CKZ810" s="1"/>
      <c r="CLA810" s="1"/>
      <c r="CLB810" s="1"/>
      <c r="CLC810" s="1"/>
      <c r="CLD810" s="7"/>
      <c r="CLE810" s="1"/>
      <c r="CLF810" s="1"/>
      <c r="CLG810" s="1"/>
      <c r="CLH810" s="1"/>
      <c r="CLI810" s="1"/>
      <c r="CLJ810" s="1"/>
      <c r="CLK810" s="1"/>
      <c r="CLL810" s="1"/>
      <c r="CLM810" s="1"/>
      <c r="CLN810" s="1"/>
      <c r="CLO810" s="1"/>
      <c r="CLP810" s="41"/>
      <c r="CLQ810" s="1"/>
      <c r="CLR810" s="1"/>
      <c r="CLS810" s="1"/>
      <c r="CLT810" s="1">
        <v>100302.53</v>
      </c>
      <c r="CLU810" s="41">
        <f>13095.23+544.5+254739.02</f>
        <v>268378.75</v>
      </c>
      <c r="CLV810" s="1">
        <f t="shared" si="599"/>
        <v>168076.22</v>
      </c>
      <c r="CLW810" s="1">
        <f t="shared" si="600"/>
        <v>268378.75</v>
      </c>
      <c r="CLX810" s="11">
        <v>15320</v>
      </c>
      <c r="CLY810" s="11">
        <v>60900</v>
      </c>
      <c r="CLZ810" s="42" t="s">
        <v>937</v>
      </c>
      <c r="CMA810" s="7"/>
      <c r="CMB810" s="7"/>
      <c r="CMC810" s="7"/>
      <c r="CMD810" s="7"/>
      <c r="CME810" s="7"/>
      <c r="CMF810" s="1"/>
      <c r="CMG810" s="1"/>
      <c r="CMH810" s="1"/>
      <c r="CMI810" s="1"/>
      <c r="CMJ810" s="7"/>
      <c r="CMK810" s="1"/>
      <c r="CML810" s="1"/>
      <c r="CMM810" s="1"/>
      <c r="CMN810" s="1"/>
      <c r="CMO810" s="1"/>
      <c r="CMP810" s="1"/>
      <c r="CMQ810" s="1"/>
      <c r="CMR810" s="1"/>
      <c r="CMS810" s="1"/>
      <c r="CMT810" s="1"/>
      <c r="CMU810" s="1"/>
      <c r="CMV810" s="41"/>
      <c r="CMW810" s="1"/>
      <c r="CMX810" s="1"/>
      <c r="CMY810" s="1"/>
      <c r="CMZ810" s="1">
        <v>100302.53</v>
      </c>
      <c r="CNA810" s="41">
        <f>13095.23+544.5+254739.02</f>
        <v>268378.75</v>
      </c>
      <c r="CNB810" s="1">
        <f t="shared" ref="CNB810:COH810" si="601">CNA810-CMZ810</f>
        <v>168076.22</v>
      </c>
      <c r="CNC810" s="1">
        <f t="shared" ref="CNC810:COI810" si="602">CMZ810+CNB810</f>
        <v>268378.75</v>
      </c>
      <c r="CND810" s="11">
        <v>15320</v>
      </c>
      <c r="CNE810" s="11">
        <v>60900</v>
      </c>
      <c r="CNF810" s="42" t="s">
        <v>937</v>
      </c>
      <c r="CNG810" s="7"/>
      <c r="CNH810" s="7"/>
      <c r="CNI810" s="7"/>
      <c r="CNJ810" s="7"/>
      <c r="CNK810" s="7"/>
      <c r="CNL810" s="1"/>
      <c r="CNM810" s="1"/>
      <c r="CNN810" s="1"/>
      <c r="CNO810" s="1"/>
      <c r="CNP810" s="7"/>
      <c r="CNQ810" s="1"/>
      <c r="CNR810" s="1"/>
      <c r="CNS810" s="1"/>
      <c r="CNT810" s="1"/>
      <c r="CNU810" s="1"/>
      <c r="CNV810" s="1"/>
      <c r="CNW810" s="1"/>
      <c r="CNX810" s="1"/>
      <c r="CNY810" s="1"/>
      <c r="CNZ810" s="1"/>
      <c r="COA810" s="1"/>
      <c r="COB810" s="41"/>
      <c r="COC810" s="1"/>
      <c r="COD810" s="1"/>
      <c r="COE810" s="1"/>
      <c r="COF810" s="1">
        <v>100302.53</v>
      </c>
      <c r="COG810" s="41">
        <f>13095.23+544.5+254739.02</f>
        <v>268378.75</v>
      </c>
      <c r="COH810" s="1">
        <f t="shared" si="601"/>
        <v>168076.22</v>
      </c>
      <c r="COI810" s="1">
        <f t="shared" si="602"/>
        <v>268378.75</v>
      </c>
      <c r="COJ810" s="11">
        <v>15320</v>
      </c>
      <c r="COK810" s="11">
        <v>60900</v>
      </c>
      <c r="COL810" s="42" t="s">
        <v>937</v>
      </c>
      <c r="COM810" s="7"/>
      <c r="CON810" s="7"/>
      <c r="COO810" s="7"/>
      <c r="COP810" s="7"/>
      <c r="COQ810" s="7"/>
      <c r="COR810" s="1"/>
      <c r="COS810" s="1"/>
      <c r="COT810" s="1"/>
      <c r="COU810" s="1"/>
      <c r="COV810" s="7"/>
      <c r="COW810" s="1"/>
      <c r="COX810" s="1"/>
      <c r="COY810" s="1"/>
      <c r="COZ810" s="1"/>
      <c r="CPA810" s="1"/>
      <c r="CPB810" s="1"/>
      <c r="CPC810" s="1"/>
      <c r="CPD810" s="1"/>
      <c r="CPE810" s="1"/>
      <c r="CPF810" s="1"/>
      <c r="CPG810" s="1"/>
      <c r="CPH810" s="41"/>
      <c r="CPI810" s="1"/>
      <c r="CPJ810" s="1"/>
      <c r="CPK810" s="1"/>
      <c r="CPL810" s="1">
        <v>100302.53</v>
      </c>
      <c r="CPM810" s="41">
        <f>13095.23+544.5+254739.02</f>
        <v>268378.75</v>
      </c>
      <c r="CPN810" s="1">
        <f t="shared" ref="CPN810:CQT810" si="603">CPM810-CPL810</f>
        <v>168076.22</v>
      </c>
      <c r="CPO810" s="1">
        <f t="shared" ref="CPO810:CQU810" si="604">CPL810+CPN810</f>
        <v>268378.75</v>
      </c>
      <c r="CPP810" s="11">
        <v>15320</v>
      </c>
      <c r="CPQ810" s="11">
        <v>60900</v>
      </c>
      <c r="CPR810" s="42" t="s">
        <v>937</v>
      </c>
      <c r="CPS810" s="7"/>
      <c r="CPT810" s="7"/>
      <c r="CPU810" s="7"/>
      <c r="CPV810" s="7"/>
      <c r="CPW810" s="7"/>
      <c r="CPX810" s="1"/>
      <c r="CPY810" s="1"/>
      <c r="CPZ810" s="1"/>
      <c r="CQA810" s="1"/>
      <c r="CQB810" s="7"/>
      <c r="CQC810" s="1"/>
      <c r="CQD810" s="1"/>
      <c r="CQE810" s="1"/>
      <c r="CQF810" s="1"/>
      <c r="CQG810" s="1"/>
      <c r="CQH810" s="1"/>
      <c r="CQI810" s="1"/>
      <c r="CQJ810" s="1"/>
      <c r="CQK810" s="1"/>
      <c r="CQL810" s="1"/>
      <c r="CQM810" s="1"/>
      <c r="CQN810" s="41"/>
      <c r="CQO810" s="1"/>
      <c r="CQP810" s="1"/>
      <c r="CQQ810" s="1"/>
      <c r="CQR810" s="1">
        <v>100302.53</v>
      </c>
      <c r="CQS810" s="41">
        <f>13095.23+544.5+254739.02</f>
        <v>268378.75</v>
      </c>
      <c r="CQT810" s="1">
        <f t="shared" si="603"/>
        <v>168076.22</v>
      </c>
      <c r="CQU810" s="1">
        <f t="shared" si="604"/>
        <v>268378.75</v>
      </c>
      <c r="CQV810" s="11">
        <v>15320</v>
      </c>
      <c r="CQW810" s="11">
        <v>60900</v>
      </c>
      <c r="CQX810" s="42" t="s">
        <v>937</v>
      </c>
      <c r="CQY810" s="7"/>
      <c r="CQZ810" s="7"/>
      <c r="CRA810" s="7"/>
      <c r="CRB810" s="7"/>
      <c r="CRC810" s="7"/>
      <c r="CRD810" s="1"/>
      <c r="CRE810" s="1"/>
      <c r="CRF810" s="1"/>
      <c r="CRG810" s="1"/>
      <c r="CRH810" s="7"/>
      <c r="CRI810" s="1"/>
      <c r="CRJ810" s="1"/>
      <c r="CRK810" s="1"/>
      <c r="CRL810" s="1"/>
      <c r="CRM810" s="1"/>
      <c r="CRN810" s="1"/>
      <c r="CRO810" s="1"/>
      <c r="CRP810" s="1"/>
      <c r="CRQ810" s="1"/>
      <c r="CRR810" s="1"/>
      <c r="CRS810" s="1"/>
      <c r="CRT810" s="41"/>
      <c r="CRU810" s="1"/>
      <c r="CRV810" s="1"/>
      <c r="CRW810" s="1"/>
      <c r="CRX810" s="1">
        <v>100302.53</v>
      </c>
      <c r="CRY810" s="41">
        <f>13095.23+544.5+254739.02</f>
        <v>268378.75</v>
      </c>
      <c r="CRZ810" s="1">
        <f t="shared" ref="CRZ810:CTF810" si="605">CRY810-CRX810</f>
        <v>168076.22</v>
      </c>
      <c r="CSA810" s="1">
        <f t="shared" ref="CSA810:CTG810" si="606">CRX810+CRZ810</f>
        <v>268378.75</v>
      </c>
      <c r="CSB810" s="11">
        <v>15320</v>
      </c>
      <c r="CSC810" s="11">
        <v>60900</v>
      </c>
      <c r="CSD810" s="42" t="s">
        <v>937</v>
      </c>
      <c r="CSE810" s="7"/>
      <c r="CSF810" s="7"/>
      <c r="CSG810" s="7"/>
      <c r="CSH810" s="7"/>
      <c r="CSI810" s="7"/>
      <c r="CSJ810" s="1"/>
      <c r="CSK810" s="1"/>
      <c r="CSL810" s="1"/>
      <c r="CSM810" s="1"/>
      <c r="CSN810" s="7"/>
      <c r="CSO810" s="1"/>
      <c r="CSP810" s="1"/>
      <c r="CSQ810" s="1"/>
      <c r="CSR810" s="1"/>
      <c r="CSS810" s="1"/>
      <c r="CST810" s="1"/>
      <c r="CSU810" s="1"/>
      <c r="CSV810" s="1"/>
      <c r="CSW810" s="1"/>
      <c r="CSX810" s="1"/>
      <c r="CSY810" s="1"/>
      <c r="CSZ810" s="41"/>
      <c r="CTA810" s="1"/>
      <c r="CTB810" s="1"/>
      <c r="CTC810" s="1"/>
      <c r="CTD810" s="1">
        <v>100302.53</v>
      </c>
      <c r="CTE810" s="41">
        <f>13095.23+544.5+254739.02</f>
        <v>268378.75</v>
      </c>
      <c r="CTF810" s="1">
        <f t="shared" si="605"/>
        <v>168076.22</v>
      </c>
      <c r="CTG810" s="1">
        <f t="shared" si="606"/>
        <v>268378.75</v>
      </c>
      <c r="CTH810" s="11">
        <v>15320</v>
      </c>
      <c r="CTI810" s="11">
        <v>60900</v>
      </c>
      <c r="CTJ810" s="42" t="s">
        <v>937</v>
      </c>
      <c r="CTK810" s="7"/>
      <c r="CTL810" s="7"/>
      <c r="CTM810" s="7"/>
      <c r="CTN810" s="7"/>
      <c r="CTO810" s="7"/>
      <c r="CTP810" s="1"/>
      <c r="CTQ810" s="1"/>
      <c r="CTR810" s="1"/>
      <c r="CTS810" s="1"/>
      <c r="CTT810" s="7"/>
      <c r="CTU810" s="1"/>
      <c r="CTV810" s="1"/>
      <c r="CTW810" s="1"/>
      <c r="CTX810" s="1"/>
      <c r="CTY810" s="1"/>
      <c r="CTZ810" s="1"/>
      <c r="CUA810" s="1"/>
      <c r="CUB810" s="1"/>
      <c r="CUC810" s="1"/>
      <c r="CUD810" s="1"/>
      <c r="CUE810" s="1"/>
      <c r="CUF810" s="41"/>
      <c r="CUG810" s="1"/>
      <c r="CUH810" s="1"/>
      <c r="CUI810" s="1"/>
      <c r="CUJ810" s="1">
        <v>100302.53</v>
      </c>
      <c r="CUK810" s="41">
        <f>13095.23+544.5+254739.02</f>
        <v>268378.75</v>
      </c>
      <c r="CUL810" s="1">
        <f t="shared" ref="CUL810:CVR810" si="607">CUK810-CUJ810</f>
        <v>168076.22</v>
      </c>
      <c r="CUM810" s="1">
        <f t="shared" ref="CUM810:CVS810" si="608">CUJ810+CUL810</f>
        <v>268378.75</v>
      </c>
      <c r="CUN810" s="11">
        <v>15320</v>
      </c>
      <c r="CUO810" s="11">
        <v>60900</v>
      </c>
      <c r="CUP810" s="42" t="s">
        <v>937</v>
      </c>
      <c r="CUQ810" s="7"/>
      <c r="CUR810" s="7"/>
      <c r="CUS810" s="7"/>
      <c r="CUT810" s="7"/>
      <c r="CUU810" s="7"/>
      <c r="CUV810" s="1"/>
      <c r="CUW810" s="1"/>
      <c r="CUX810" s="1"/>
      <c r="CUY810" s="1"/>
      <c r="CUZ810" s="7"/>
      <c r="CVA810" s="1"/>
      <c r="CVB810" s="1"/>
      <c r="CVC810" s="1"/>
      <c r="CVD810" s="1"/>
      <c r="CVE810" s="1"/>
      <c r="CVF810" s="1"/>
      <c r="CVG810" s="1"/>
      <c r="CVH810" s="1"/>
      <c r="CVI810" s="1"/>
      <c r="CVJ810" s="1"/>
      <c r="CVK810" s="1"/>
      <c r="CVL810" s="41"/>
      <c r="CVM810" s="1"/>
      <c r="CVN810" s="1"/>
      <c r="CVO810" s="1"/>
      <c r="CVP810" s="1">
        <v>100302.53</v>
      </c>
      <c r="CVQ810" s="41">
        <f>13095.23+544.5+254739.02</f>
        <v>268378.75</v>
      </c>
      <c r="CVR810" s="1">
        <f t="shared" si="607"/>
        <v>168076.22</v>
      </c>
      <c r="CVS810" s="1">
        <f t="shared" si="608"/>
        <v>268378.75</v>
      </c>
      <c r="CVT810" s="11">
        <v>15320</v>
      </c>
      <c r="CVU810" s="11">
        <v>60900</v>
      </c>
      <c r="CVV810" s="42" t="s">
        <v>937</v>
      </c>
      <c r="CVW810" s="7"/>
      <c r="CVX810" s="7"/>
      <c r="CVY810" s="7"/>
      <c r="CVZ810" s="7"/>
      <c r="CWA810" s="7"/>
      <c r="CWB810" s="1"/>
      <c r="CWC810" s="1"/>
      <c r="CWD810" s="1"/>
      <c r="CWE810" s="1"/>
      <c r="CWF810" s="7"/>
      <c r="CWG810" s="1"/>
      <c r="CWH810" s="1"/>
      <c r="CWI810" s="1"/>
      <c r="CWJ810" s="1"/>
      <c r="CWK810" s="1"/>
      <c r="CWL810" s="1"/>
      <c r="CWM810" s="1"/>
      <c r="CWN810" s="1"/>
      <c r="CWO810" s="1"/>
      <c r="CWP810" s="1"/>
      <c r="CWQ810" s="1"/>
      <c r="CWR810" s="41"/>
      <c r="CWS810" s="1"/>
      <c r="CWT810" s="1"/>
      <c r="CWU810" s="1"/>
      <c r="CWV810" s="1">
        <v>100302.53</v>
      </c>
      <c r="CWW810" s="41">
        <f>13095.23+544.5+254739.02</f>
        <v>268378.75</v>
      </c>
      <c r="CWX810" s="1">
        <f t="shared" ref="CWX810:CYD810" si="609">CWW810-CWV810</f>
        <v>168076.22</v>
      </c>
      <c r="CWY810" s="1">
        <f t="shared" ref="CWY810:CYE810" si="610">CWV810+CWX810</f>
        <v>268378.75</v>
      </c>
      <c r="CWZ810" s="11">
        <v>15320</v>
      </c>
      <c r="CXA810" s="11">
        <v>60900</v>
      </c>
      <c r="CXB810" s="42" t="s">
        <v>937</v>
      </c>
      <c r="CXC810" s="7"/>
      <c r="CXD810" s="7"/>
      <c r="CXE810" s="7"/>
      <c r="CXF810" s="7"/>
      <c r="CXG810" s="7"/>
      <c r="CXH810" s="1"/>
      <c r="CXI810" s="1"/>
      <c r="CXJ810" s="1"/>
      <c r="CXK810" s="1"/>
      <c r="CXL810" s="7"/>
      <c r="CXM810" s="1"/>
      <c r="CXN810" s="1"/>
      <c r="CXO810" s="1"/>
      <c r="CXP810" s="1"/>
      <c r="CXQ810" s="1"/>
      <c r="CXR810" s="1"/>
      <c r="CXS810" s="1"/>
      <c r="CXT810" s="1"/>
      <c r="CXU810" s="1"/>
      <c r="CXV810" s="1"/>
      <c r="CXW810" s="1"/>
      <c r="CXX810" s="41"/>
      <c r="CXY810" s="1"/>
      <c r="CXZ810" s="1"/>
      <c r="CYA810" s="1"/>
      <c r="CYB810" s="1">
        <v>100302.53</v>
      </c>
      <c r="CYC810" s="41">
        <f>13095.23+544.5+254739.02</f>
        <v>268378.75</v>
      </c>
      <c r="CYD810" s="1">
        <f t="shared" si="609"/>
        <v>168076.22</v>
      </c>
      <c r="CYE810" s="1">
        <f t="shared" si="610"/>
        <v>268378.75</v>
      </c>
      <c r="CYF810" s="11">
        <v>15320</v>
      </c>
      <c r="CYG810" s="11">
        <v>60900</v>
      </c>
      <c r="CYH810" s="42" t="s">
        <v>937</v>
      </c>
      <c r="CYI810" s="7"/>
      <c r="CYJ810" s="7"/>
      <c r="CYK810" s="7"/>
      <c r="CYL810" s="7"/>
      <c r="CYM810" s="7"/>
      <c r="CYN810" s="1"/>
      <c r="CYO810" s="1"/>
      <c r="CYP810" s="1"/>
      <c r="CYQ810" s="1"/>
      <c r="CYR810" s="7"/>
      <c r="CYS810" s="1"/>
      <c r="CYT810" s="1"/>
      <c r="CYU810" s="1"/>
      <c r="CYV810" s="1"/>
      <c r="CYW810" s="1"/>
      <c r="CYX810" s="1"/>
      <c r="CYY810" s="1"/>
      <c r="CYZ810" s="1"/>
      <c r="CZA810" s="1"/>
      <c r="CZB810" s="1"/>
      <c r="CZC810" s="1"/>
      <c r="CZD810" s="41"/>
      <c r="CZE810" s="1"/>
      <c r="CZF810" s="1"/>
      <c r="CZG810" s="1"/>
      <c r="CZH810" s="1">
        <v>100302.53</v>
      </c>
      <c r="CZI810" s="41">
        <f>13095.23+544.5+254739.02</f>
        <v>268378.75</v>
      </c>
      <c r="CZJ810" s="1">
        <f t="shared" ref="CZJ810:DAP810" si="611">CZI810-CZH810</f>
        <v>168076.22</v>
      </c>
      <c r="CZK810" s="1">
        <f t="shared" ref="CZK810:DAQ810" si="612">CZH810+CZJ810</f>
        <v>268378.75</v>
      </c>
      <c r="CZL810" s="11">
        <v>15320</v>
      </c>
      <c r="CZM810" s="11">
        <v>60900</v>
      </c>
      <c r="CZN810" s="42" t="s">
        <v>937</v>
      </c>
      <c r="CZO810" s="7"/>
      <c r="CZP810" s="7"/>
      <c r="CZQ810" s="7"/>
      <c r="CZR810" s="7"/>
      <c r="CZS810" s="7"/>
      <c r="CZT810" s="1"/>
      <c r="CZU810" s="1"/>
      <c r="CZV810" s="1"/>
      <c r="CZW810" s="1"/>
      <c r="CZX810" s="7"/>
      <c r="CZY810" s="1"/>
      <c r="CZZ810" s="1"/>
      <c r="DAA810" s="1"/>
      <c r="DAB810" s="1"/>
      <c r="DAC810" s="1"/>
      <c r="DAD810" s="1"/>
      <c r="DAE810" s="1"/>
      <c r="DAF810" s="1"/>
      <c r="DAG810" s="1"/>
      <c r="DAH810" s="1"/>
      <c r="DAI810" s="1"/>
      <c r="DAJ810" s="41"/>
      <c r="DAK810" s="1"/>
      <c r="DAL810" s="1"/>
      <c r="DAM810" s="1"/>
      <c r="DAN810" s="1">
        <v>100302.53</v>
      </c>
      <c r="DAO810" s="41">
        <f>13095.23+544.5+254739.02</f>
        <v>268378.75</v>
      </c>
      <c r="DAP810" s="1">
        <f t="shared" si="611"/>
        <v>168076.22</v>
      </c>
      <c r="DAQ810" s="1">
        <f t="shared" si="612"/>
        <v>268378.75</v>
      </c>
      <c r="DAR810" s="11">
        <v>15320</v>
      </c>
      <c r="DAS810" s="11">
        <v>60900</v>
      </c>
      <c r="DAT810" s="42" t="s">
        <v>937</v>
      </c>
      <c r="DAU810" s="7"/>
      <c r="DAV810" s="7"/>
      <c r="DAW810" s="7"/>
      <c r="DAX810" s="7"/>
      <c r="DAY810" s="7"/>
      <c r="DAZ810" s="1"/>
      <c r="DBA810" s="1"/>
      <c r="DBB810" s="1"/>
      <c r="DBC810" s="1"/>
      <c r="DBD810" s="7"/>
      <c r="DBE810" s="1"/>
      <c r="DBF810" s="1"/>
      <c r="DBG810" s="1"/>
      <c r="DBH810" s="1"/>
      <c r="DBI810" s="1"/>
      <c r="DBJ810" s="1"/>
      <c r="DBK810" s="1"/>
      <c r="DBL810" s="1"/>
      <c r="DBM810" s="1"/>
      <c r="DBN810" s="1"/>
      <c r="DBO810" s="1"/>
      <c r="DBP810" s="41"/>
      <c r="DBQ810" s="1"/>
      <c r="DBR810" s="1"/>
      <c r="DBS810" s="1"/>
      <c r="DBT810" s="1">
        <v>100302.53</v>
      </c>
      <c r="DBU810" s="41">
        <f>13095.23+544.5+254739.02</f>
        <v>268378.75</v>
      </c>
      <c r="DBV810" s="1">
        <f t="shared" ref="DBV810:DDB810" si="613">DBU810-DBT810</f>
        <v>168076.22</v>
      </c>
      <c r="DBW810" s="1">
        <f t="shared" ref="DBW810:DDC810" si="614">DBT810+DBV810</f>
        <v>268378.75</v>
      </c>
      <c r="DBX810" s="11">
        <v>15320</v>
      </c>
      <c r="DBY810" s="11">
        <v>60900</v>
      </c>
      <c r="DBZ810" s="42" t="s">
        <v>937</v>
      </c>
      <c r="DCA810" s="7"/>
      <c r="DCB810" s="7"/>
      <c r="DCC810" s="7"/>
      <c r="DCD810" s="7"/>
      <c r="DCE810" s="7"/>
      <c r="DCF810" s="1"/>
      <c r="DCG810" s="1"/>
      <c r="DCH810" s="1"/>
      <c r="DCI810" s="1"/>
      <c r="DCJ810" s="7"/>
      <c r="DCK810" s="1"/>
      <c r="DCL810" s="1"/>
      <c r="DCM810" s="1"/>
      <c r="DCN810" s="1"/>
      <c r="DCO810" s="1"/>
      <c r="DCP810" s="1"/>
      <c r="DCQ810" s="1"/>
      <c r="DCR810" s="1"/>
      <c r="DCS810" s="1"/>
      <c r="DCT810" s="1"/>
      <c r="DCU810" s="1"/>
      <c r="DCV810" s="41"/>
      <c r="DCW810" s="1"/>
      <c r="DCX810" s="1"/>
      <c r="DCY810" s="1"/>
      <c r="DCZ810" s="1">
        <v>100302.53</v>
      </c>
      <c r="DDA810" s="41">
        <f>13095.23+544.5+254739.02</f>
        <v>268378.75</v>
      </c>
      <c r="DDB810" s="1">
        <f t="shared" si="613"/>
        <v>168076.22</v>
      </c>
      <c r="DDC810" s="1">
        <f t="shared" si="614"/>
        <v>268378.75</v>
      </c>
      <c r="DDD810" s="11">
        <v>15320</v>
      </c>
      <c r="DDE810" s="11">
        <v>60900</v>
      </c>
      <c r="DDF810" s="42" t="s">
        <v>937</v>
      </c>
      <c r="DDG810" s="7"/>
      <c r="DDH810" s="7"/>
      <c r="DDI810" s="7"/>
      <c r="DDJ810" s="7"/>
      <c r="DDK810" s="7"/>
      <c r="DDL810" s="1"/>
      <c r="DDM810" s="1"/>
      <c r="DDN810" s="1"/>
      <c r="DDO810" s="1"/>
      <c r="DDP810" s="7"/>
      <c r="DDQ810" s="1"/>
      <c r="DDR810" s="1"/>
      <c r="DDS810" s="1"/>
      <c r="DDT810" s="1"/>
      <c r="DDU810" s="1"/>
      <c r="DDV810" s="1"/>
      <c r="DDW810" s="1"/>
      <c r="DDX810" s="1"/>
      <c r="DDY810" s="1"/>
      <c r="DDZ810" s="1"/>
      <c r="DEA810" s="1"/>
      <c r="DEB810" s="41"/>
      <c r="DEC810" s="1"/>
      <c r="DED810" s="1"/>
      <c r="DEE810" s="1"/>
      <c r="DEF810" s="1">
        <v>100302.53</v>
      </c>
      <c r="DEG810" s="41">
        <f>13095.23+544.5+254739.02</f>
        <v>268378.75</v>
      </c>
      <c r="DEH810" s="1">
        <f t="shared" ref="DEH810:DFN810" si="615">DEG810-DEF810</f>
        <v>168076.22</v>
      </c>
      <c r="DEI810" s="1">
        <f t="shared" ref="DEI810:DFO810" si="616">DEF810+DEH810</f>
        <v>268378.75</v>
      </c>
      <c r="DEJ810" s="11">
        <v>15320</v>
      </c>
      <c r="DEK810" s="11">
        <v>60900</v>
      </c>
      <c r="DEL810" s="42" t="s">
        <v>937</v>
      </c>
      <c r="DEM810" s="7"/>
      <c r="DEN810" s="7"/>
      <c r="DEO810" s="7"/>
      <c r="DEP810" s="7"/>
      <c r="DEQ810" s="7"/>
      <c r="DER810" s="1"/>
      <c r="DES810" s="1"/>
      <c r="DET810" s="1"/>
      <c r="DEU810" s="1"/>
      <c r="DEV810" s="7"/>
      <c r="DEW810" s="1"/>
      <c r="DEX810" s="1"/>
      <c r="DEY810" s="1"/>
      <c r="DEZ810" s="1"/>
      <c r="DFA810" s="1"/>
      <c r="DFB810" s="1"/>
      <c r="DFC810" s="1"/>
      <c r="DFD810" s="1"/>
      <c r="DFE810" s="1"/>
      <c r="DFF810" s="1"/>
      <c r="DFG810" s="1"/>
      <c r="DFH810" s="41"/>
      <c r="DFI810" s="1"/>
      <c r="DFJ810" s="1"/>
      <c r="DFK810" s="1"/>
      <c r="DFL810" s="1">
        <v>100302.53</v>
      </c>
      <c r="DFM810" s="41">
        <f>13095.23+544.5+254739.02</f>
        <v>268378.75</v>
      </c>
      <c r="DFN810" s="1">
        <f t="shared" si="615"/>
        <v>168076.22</v>
      </c>
      <c r="DFO810" s="1">
        <f t="shared" si="616"/>
        <v>268378.75</v>
      </c>
      <c r="DFP810" s="11">
        <v>15320</v>
      </c>
      <c r="DFQ810" s="11">
        <v>60900</v>
      </c>
      <c r="DFR810" s="42" t="s">
        <v>937</v>
      </c>
      <c r="DFS810" s="7"/>
      <c r="DFT810" s="7"/>
      <c r="DFU810" s="7"/>
      <c r="DFV810" s="7"/>
      <c r="DFW810" s="7"/>
      <c r="DFX810" s="1"/>
      <c r="DFY810" s="1"/>
      <c r="DFZ810" s="1"/>
      <c r="DGA810" s="1"/>
      <c r="DGB810" s="7"/>
      <c r="DGC810" s="1"/>
      <c r="DGD810" s="1"/>
      <c r="DGE810" s="1"/>
      <c r="DGF810" s="1"/>
      <c r="DGG810" s="1"/>
      <c r="DGH810" s="1"/>
      <c r="DGI810" s="1"/>
      <c r="DGJ810" s="1"/>
      <c r="DGK810" s="1"/>
      <c r="DGL810" s="1"/>
      <c r="DGM810" s="1"/>
      <c r="DGN810" s="41"/>
      <c r="DGO810" s="1"/>
      <c r="DGP810" s="1"/>
      <c r="DGQ810" s="1"/>
      <c r="DGR810" s="1">
        <v>100302.53</v>
      </c>
      <c r="DGS810" s="41">
        <f>13095.23+544.5+254739.02</f>
        <v>268378.75</v>
      </c>
      <c r="DGT810" s="1">
        <f t="shared" ref="DGT810:DHZ810" si="617">DGS810-DGR810</f>
        <v>168076.22</v>
      </c>
      <c r="DGU810" s="1">
        <f t="shared" ref="DGU810:DIA810" si="618">DGR810+DGT810</f>
        <v>268378.75</v>
      </c>
      <c r="DGV810" s="11">
        <v>15320</v>
      </c>
      <c r="DGW810" s="11">
        <v>60900</v>
      </c>
      <c r="DGX810" s="42" t="s">
        <v>937</v>
      </c>
      <c r="DGY810" s="7"/>
      <c r="DGZ810" s="7"/>
      <c r="DHA810" s="7"/>
      <c r="DHB810" s="7"/>
      <c r="DHC810" s="7"/>
      <c r="DHD810" s="1"/>
      <c r="DHE810" s="1"/>
      <c r="DHF810" s="1"/>
      <c r="DHG810" s="1"/>
      <c r="DHH810" s="7"/>
      <c r="DHI810" s="1"/>
      <c r="DHJ810" s="1"/>
      <c r="DHK810" s="1"/>
      <c r="DHL810" s="1"/>
      <c r="DHM810" s="1"/>
      <c r="DHN810" s="1"/>
      <c r="DHO810" s="1"/>
      <c r="DHP810" s="1"/>
      <c r="DHQ810" s="1"/>
      <c r="DHR810" s="1"/>
      <c r="DHS810" s="1"/>
      <c r="DHT810" s="41"/>
      <c r="DHU810" s="1"/>
      <c r="DHV810" s="1"/>
      <c r="DHW810" s="1"/>
      <c r="DHX810" s="1">
        <v>100302.53</v>
      </c>
      <c r="DHY810" s="41">
        <f>13095.23+544.5+254739.02</f>
        <v>268378.75</v>
      </c>
      <c r="DHZ810" s="1">
        <f t="shared" si="617"/>
        <v>168076.22</v>
      </c>
      <c r="DIA810" s="1">
        <f t="shared" si="618"/>
        <v>268378.75</v>
      </c>
      <c r="DIB810" s="11">
        <v>15320</v>
      </c>
      <c r="DIC810" s="11">
        <v>60900</v>
      </c>
      <c r="DID810" s="42" t="s">
        <v>937</v>
      </c>
      <c r="DIE810" s="7"/>
      <c r="DIF810" s="7"/>
      <c r="DIG810" s="7"/>
      <c r="DIH810" s="7"/>
      <c r="DII810" s="7"/>
      <c r="DIJ810" s="1"/>
      <c r="DIK810" s="1"/>
      <c r="DIL810" s="1"/>
      <c r="DIM810" s="1"/>
      <c r="DIN810" s="7"/>
      <c r="DIO810" s="1"/>
      <c r="DIP810" s="1"/>
      <c r="DIQ810" s="1"/>
      <c r="DIR810" s="1"/>
      <c r="DIS810" s="1"/>
      <c r="DIT810" s="1"/>
      <c r="DIU810" s="1"/>
      <c r="DIV810" s="1"/>
      <c r="DIW810" s="1"/>
      <c r="DIX810" s="1"/>
      <c r="DIY810" s="1"/>
      <c r="DIZ810" s="41"/>
      <c r="DJA810" s="1"/>
      <c r="DJB810" s="1"/>
      <c r="DJC810" s="1"/>
      <c r="DJD810" s="1">
        <v>100302.53</v>
      </c>
      <c r="DJE810" s="41">
        <f>13095.23+544.5+254739.02</f>
        <v>268378.75</v>
      </c>
      <c r="DJF810" s="1">
        <f t="shared" ref="DJF810:DKL810" si="619">DJE810-DJD810</f>
        <v>168076.22</v>
      </c>
      <c r="DJG810" s="1">
        <f t="shared" ref="DJG810:DKM810" si="620">DJD810+DJF810</f>
        <v>268378.75</v>
      </c>
      <c r="DJH810" s="11">
        <v>15320</v>
      </c>
      <c r="DJI810" s="11">
        <v>60900</v>
      </c>
      <c r="DJJ810" s="42" t="s">
        <v>937</v>
      </c>
      <c r="DJK810" s="7"/>
      <c r="DJL810" s="7"/>
      <c r="DJM810" s="7"/>
      <c r="DJN810" s="7"/>
      <c r="DJO810" s="7"/>
      <c r="DJP810" s="1"/>
      <c r="DJQ810" s="1"/>
      <c r="DJR810" s="1"/>
      <c r="DJS810" s="1"/>
      <c r="DJT810" s="7"/>
      <c r="DJU810" s="1"/>
      <c r="DJV810" s="1"/>
      <c r="DJW810" s="1"/>
      <c r="DJX810" s="1"/>
      <c r="DJY810" s="1"/>
      <c r="DJZ810" s="1"/>
      <c r="DKA810" s="1"/>
      <c r="DKB810" s="1"/>
      <c r="DKC810" s="1"/>
      <c r="DKD810" s="1"/>
      <c r="DKE810" s="1"/>
      <c r="DKF810" s="41"/>
      <c r="DKG810" s="1"/>
      <c r="DKH810" s="1"/>
      <c r="DKI810" s="1"/>
      <c r="DKJ810" s="1">
        <v>100302.53</v>
      </c>
      <c r="DKK810" s="41">
        <f>13095.23+544.5+254739.02</f>
        <v>268378.75</v>
      </c>
      <c r="DKL810" s="1">
        <f t="shared" si="619"/>
        <v>168076.22</v>
      </c>
      <c r="DKM810" s="1">
        <f t="shared" si="620"/>
        <v>268378.75</v>
      </c>
      <c r="DKN810" s="11">
        <v>15320</v>
      </c>
      <c r="DKO810" s="11">
        <v>60900</v>
      </c>
      <c r="DKP810" s="42" t="s">
        <v>937</v>
      </c>
      <c r="DKQ810" s="7"/>
      <c r="DKR810" s="7"/>
      <c r="DKS810" s="7"/>
      <c r="DKT810" s="7"/>
      <c r="DKU810" s="7"/>
      <c r="DKV810" s="1"/>
      <c r="DKW810" s="1"/>
      <c r="DKX810" s="1"/>
      <c r="DKY810" s="1"/>
      <c r="DKZ810" s="7"/>
      <c r="DLA810" s="1"/>
      <c r="DLB810" s="1"/>
      <c r="DLC810" s="1"/>
      <c r="DLD810" s="1"/>
      <c r="DLE810" s="1"/>
      <c r="DLF810" s="1"/>
      <c r="DLG810" s="1"/>
      <c r="DLH810" s="1"/>
      <c r="DLI810" s="1"/>
      <c r="DLJ810" s="1"/>
      <c r="DLK810" s="1"/>
      <c r="DLL810" s="41"/>
      <c r="DLM810" s="1"/>
      <c r="DLN810" s="1"/>
      <c r="DLO810" s="1"/>
      <c r="DLP810" s="1">
        <v>100302.53</v>
      </c>
      <c r="DLQ810" s="41">
        <f>13095.23+544.5+254739.02</f>
        <v>268378.75</v>
      </c>
      <c r="DLR810" s="1">
        <f t="shared" ref="DLR810:DMX810" si="621">DLQ810-DLP810</f>
        <v>168076.22</v>
      </c>
      <c r="DLS810" s="1">
        <f t="shared" ref="DLS810:DMY810" si="622">DLP810+DLR810</f>
        <v>268378.75</v>
      </c>
      <c r="DLT810" s="11">
        <v>15320</v>
      </c>
      <c r="DLU810" s="11">
        <v>60900</v>
      </c>
      <c r="DLV810" s="42" t="s">
        <v>937</v>
      </c>
      <c r="DLW810" s="7"/>
      <c r="DLX810" s="7"/>
      <c r="DLY810" s="7"/>
      <c r="DLZ810" s="7"/>
      <c r="DMA810" s="7"/>
      <c r="DMB810" s="1"/>
      <c r="DMC810" s="1"/>
      <c r="DMD810" s="1"/>
      <c r="DME810" s="1"/>
      <c r="DMF810" s="7"/>
      <c r="DMG810" s="1"/>
      <c r="DMH810" s="1"/>
      <c r="DMI810" s="1"/>
      <c r="DMJ810" s="1"/>
      <c r="DMK810" s="1"/>
      <c r="DML810" s="1"/>
      <c r="DMM810" s="1"/>
      <c r="DMN810" s="1"/>
      <c r="DMO810" s="1"/>
      <c r="DMP810" s="1"/>
      <c r="DMQ810" s="1"/>
      <c r="DMR810" s="41"/>
      <c r="DMS810" s="1"/>
      <c r="DMT810" s="1"/>
      <c r="DMU810" s="1"/>
      <c r="DMV810" s="1">
        <v>100302.53</v>
      </c>
      <c r="DMW810" s="41">
        <f>13095.23+544.5+254739.02</f>
        <v>268378.75</v>
      </c>
      <c r="DMX810" s="1">
        <f t="shared" si="621"/>
        <v>168076.22</v>
      </c>
      <c r="DMY810" s="1">
        <f t="shared" si="622"/>
        <v>268378.75</v>
      </c>
      <c r="DMZ810" s="11">
        <v>15320</v>
      </c>
      <c r="DNA810" s="11">
        <v>60900</v>
      </c>
      <c r="DNB810" s="42" t="s">
        <v>937</v>
      </c>
      <c r="DNC810" s="7"/>
      <c r="DND810" s="7"/>
      <c r="DNE810" s="7"/>
      <c r="DNF810" s="7"/>
      <c r="DNG810" s="7"/>
      <c r="DNH810" s="1"/>
      <c r="DNI810" s="1"/>
      <c r="DNJ810" s="1"/>
      <c r="DNK810" s="1"/>
      <c r="DNL810" s="7"/>
      <c r="DNM810" s="1"/>
      <c r="DNN810" s="1"/>
      <c r="DNO810" s="1"/>
      <c r="DNP810" s="1"/>
      <c r="DNQ810" s="1"/>
      <c r="DNR810" s="1"/>
      <c r="DNS810" s="1"/>
      <c r="DNT810" s="1"/>
      <c r="DNU810" s="1"/>
      <c r="DNV810" s="1"/>
      <c r="DNW810" s="1"/>
      <c r="DNX810" s="41"/>
      <c r="DNY810" s="1"/>
      <c r="DNZ810" s="1"/>
      <c r="DOA810" s="1"/>
      <c r="DOB810" s="1">
        <v>100302.53</v>
      </c>
      <c r="DOC810" s="41">
        <f>13095.23+544.5+254739.02</f>
        <v>268378.75</v>
      </c>
      <c r="DOD810" s="1">
        <f t="shared" ref="DOD810:DPJ810" si="623">DOC810-DOB810</f>
        <v>168076.22</v>
      </c>
      <c r="DOE810" s="1">
        <f t="shared" ref="DOE810:DPK810" si="624">DOB810+DOD810</f>
        <v>268378.75</v>
      </c>
      <c r="DOF810" s="11">
        <v>15320</v>
      </c>
      <c r="DOG810" s="11">
        <v>60900</v>
      </c>
      <c r="DOH810" s="42" t="s">
        <v>937</v>
      </c>
      <c r="DOI810" s="7"/>
      <c r="DOJ810" s="7"/>
      <c r="DOK810" s="7"/>
      <c r="DOL810" s="7"/>
      <c r="DOM810" s="7"/>
      <c r="DON810" s="1"/>
      <c r="DOO810" s="1"/>
      <c r="DOP810" s="1"/>
      <c r="DOQ810" s="1"/>
      <c r="DOR810" s="7"/>
      <c r="DOS810" s="1"/>
      <c r="DOT810" s="1"/>
      <c r="DOU810" s="1"/>
      <c r="DOV810" s="1"/>
      <c r="DOW810" s="1"/>
      <c r="DOX810" s="1"/>
      <c r="DOY810" s="1"/>
      <c r="DOZ810" s="1"/>
      <c r="DPA810" s="1"/>
      <c r="DPB810" s="1"/>
      <c r="DPC810" s="1"/>
      <c r="DPD810" s="41"/>
      <c r="DPE810" s="1"/>
      <c r="DPF810" s="1"/>
      <c r="DPG810" s="1"/>
      <c r="DPH810" s="1">
        <v>100302.53</v>
      </c>
      <c r="DPI810" s="41">
        <f>13095.23+544.5+254739.02</f>
        <v>268378.75</v>
      </c>
      <c r="DPJ810" s="1">
        <f t="shared" si="623"/>
        <v>168076.22</v>
      </c>
      <c r="DPK810" s="1">
        <f t="shared" si="624"/>
        <v>268378.75</v>
      </c>
      <c r="DPL810" s="11">
        <v>15320</v>
      </c>
      <c r="DPM810" s="11">
        <v>60900</v>
      </c>
      <c r="DPN810" s="42" t="s">
        <v>937</v>
      </c>
      <c r="DPO810" s="7"/>
      <c r="DPP810" s="7"/>
      <c r="DPQ810" s="7"/>
      <c r="DPR810" s="7"/>
      <c r="DPS810" s="7"/>
      <c r="DPT810" s="1"/>
      <c r="DPU810" s="1"/>
      <c r="DPV810" s="1"/>
      <c r="DPW810" s="1"/>
      <c r="DPX810" s="7"/>
      <c r="DPY810" s="1"/>
      <c r="DPZ810" s="1"/>
      <c r="DQA810" s="1"/>
      <c r="DQB810" s="1"/>
      <c r="DQC810" s="1"/>
      <c r="DQD810" s="1"/>
      <c r="DQE810" s="1"/>
      <c r="DQF810" s="1"/>
      <c r="DQG810" s="1"/>
      <c r="DQH810" s="1"/>
      <c r="DQI810" s="1"/>
      <c r="DQJ810" s="41"/>
      <c r="DQK810" s="1"/>
      <c r="DQL810" s="1"/>
      <c r="DQM810" s="1"/>
      <c r="DQN810" s="1">
        <v>100302.53</v>
      </c>
      <c r="DQO810" s="41">
        <f>13095.23+544.5+254739.02</f>
        <v>268378.75</v>
      </c>
      <c r="DQP810" s="1">
        <f t="shared" ref="DQP810:DRV810" si="625">DQO810-DQN810</f>
        <v>168076.22</v>
      </c>
      <c r="DQQ810" s="1">
        <f t="shared" ref="DQQ810:DRW810" si="626">DQN810+DQP810</f>
        <v>268378.75</v>
      </c>
      <c r="DQR810" s="11">
        <v>15320</v>
      </c>
      <c r="DQS810" s="11">
        <v>60900</v>
      </c>
      <c r="DQT810" s="42" t="s">
        <v>937</v>
      </c>
      <c r="DQU810" s="7"/>
      <c r="DQV810" s="7"/>
      <c r="DQW810" s="7"/>
      <c r="DQX810" s="7"/>
      <c r="DQY810" s="7"/>
      <c r="DQZ810" s="1"/>
      <c r="DRA810" s="1"/>
      <c r="DRB810" s="1"/>
      <c r="DRC810" s="1"/>
      <c r="DRD810" s="7"/>
      <c r="DRE810" s="1"/>
      <c r="DRF810" s="1"/>
      <c r="DRG810" s="1"/>
      <c r="DRH810" s="1"/>
      <c r="DRI810" s="1"/>
      <c r="DRJ810" s="1"/>
      <c r="DRK810" s="1"/>
      <c r="DRL810" s="1"/>
      <c r="DRM810" s="1"/>
      <c r="DRN810" s="1"/>
      <c r="DRO810" s="1"/>
      <c r="DRP810" s="41"/>
      <c r="DRQ810" s="1"/>
      <c r="DRR810" s="1"/>
      <c r="DRS810" s="1"/>
      <c r="DRT810" s="1">
        <v>100302.53</v>
      </c>
      <c r="DRU810" s="41">
        <f>13095.23+544.5+254739.02</f>
        <v>268378.75</v>
      </c>
      <c r="DRV810" s="1">
        <f t="shared" si="625"/>
        <v>168076.22</v>
      </c>
      <c r="DRW810" s="1">
        <f t="shared" si="626"/>
        <v>268378.75</v>
      </c>
      <c r="DRX810" s="11">
        <v>15320</v>
      </c>
      <c r="DRY810" s="11">
        <v>60900</v>
      </c>
      <c r="DRZ810" s="42" t="s">
        <v>937</v>
      </c>
      <c r="DSA810" s="7"/>
      <c r="DSB810" s="7"/>
      <c r="DSC810" s="7"/>
      <c r="DSD810" s="7"/>
      <c r="DSE810" s="7"/>
      <c r="DSF810" s="1"/>
      <c r="DSG810" s="1"/>
      <c r="DSH810" s="1"/>
      <c r="DSI810" s="1"/>
      <c r="DSJ810" s="7"/>
      <c r="DSK810" s="1"/>
      <c r="DSL810" s="1"/>
      <c r="DSM810" s="1"/>
      <c r="DSN810" s="1"/>
      <c r="DSO810" s="1"/>
      <c r="DSP810" s="1"/>
      <c r="DSQ810" s="1"/>
      <c r="DSR810" s="1"/>
      <c r="DSS810" s="1"/>
      <c r="DST810" s="1"/>
      <c r="DSU810" s="1"/>
      <c r="DSV810" s="41"/>
      <c r="DSW810" s="1"/>
      <c r="DSX810" s="1"/>
      <c r="DSY810" s="1"/>
      <c r="DSZ810" s="1">
        <v>100302.53</v>
      </c>
      <c r="DTA810" s="41">
        <f>13095.23+544.5+254739.02</f>
        <v>268378.75</v>
      </c>
      <c r="DTB810" s="1">
        <f t="shared" ref="DTB810:DUH810" si="627">DTA810-DSZ810</f>
        <v>168076.22</v>
      </c>
      <c r="DTC810" s="1">
        <f t="shared" ref="DTC810:DUI810" si="628">DSZ810+DTB810</f>
        <v>268378.75</v>
      </c>
      <c r="DTD810" s="11">
        <v>15320</v>
      </c>
      <c r="DTE810" s="11">
        <v>60900</v>
      </c>
      <c r="DTF810" s="42" t="s">
        <v>937</v>
      </c>
      <c r="DTG810" s="7"/>
      <c r="DTH810" s="7"/>
      <c r="DTI810" s="7"/>
      <c r="DTJ810" s="7"/>
      <c r="DTK810" s="7"/>
      <c r="DTL810" s="1"/>
      <c r="DTM810" s="1"/>
      <c r="DTN810" s="1"/>
      <c r="DTO810" s="1"/>
      <c r="DTP810" s="7"/>
      <c r="DTQ810" s="1"/>
      <c r="DTR810" s="1"/>
      <c r="DTS810" s="1"/>
      <c r="DTT810" s="1"/>
      <c r="DTU810" s="1"/>
      <c r="DTV810" s="1"/>
      <c r="DTW810" s="1"/>
      <c r="DTX810" s="1"/>
      <c r="DTY810" s="1"/>
      <c r="DTZ810" s="1"/>
      <c r="DUA810" s="1"/>
      <c r="DUB810" s="41"/>
      <c r="DUC810" s="1"/>
      <c r="DUD810" s="1"/>
      <c r="DUE810" s="1"/>
      <c r="DUF810" s="1">
        <v>100302.53</v>
      </c>
      <c r="DUG810" s="41">
        <f>13095.23+544.5+254739.02</f>
        <v>268378.75</v>
      </c>
      <c r="DUH810" s="1">
        <f t="shared" si="627"/>
        <v>168076.22</v>
      </c>
      <c r="DUI810" s="1">
        <f t="shared" si="628"/>
        <v>268378.75</v>
      </c>
      <c r="DUJ810" s="11">
        <v>15320</v>
      </c>
      <c r="DUK810" s="11">
        <v>60900</v>
      </c>
      <c r="DUL810" s="42" t="s">
        <v>937</v>
      </c>
      <c r="DUM810" s="7"/>
      <c r="DUN810" s="7"/>
      <c r="DUO810" s="7"/>
      <c r="DUP810" s="7"/>
      <c r="DUQ810" s="7"/>
      <c r="DUR810" s="1"/>
      <c r="DUS810" s="1"/>
      <c r="DUT810" s="1"/>
      <c r="DUU810" s="1"/>
      <c r="DUV810" s="7"/>
      <c r="DUW810" s="1"/>
      <c r="DUX810" s="1"/>
      <c r="DUY810" s="1"/>
      <c r="DUZ810" s="1"/>
      <c r="DVA810" s="1"/>
      <c r="DVB810" s="1"/>
      <c r="DVC810" s="1"/>
      <c r="DVD810" s="1"/>
      <c r="DVE810" s="1"/>
      <c r="DVF810" s="1"/>
      <c r="DVG810" s="1"/>
      <c r="DVH810" s="41"/>
      <c r="DVI810" s="1"/>
      <c r="DVJ810" s="1"/>
      <c r="DVK810" s="1"/>
      <c r="DVL810" s="1">
        <v>100302.53</v>
      </c>
      <c r="DVM810" s="41">
        <f>13095.23+544.5+254739.02</f>
        <v>268378.75</v>
      </c>
      <c r="DVN810" s="1">
        <f t="shared" ref="DVN810:DWT810" si="629">DVM810-DVL810</f>
        <v>168076.22</v>
      </c>
      <c r="DVO810" s="1">
        <f t="shared" ref="DVO810:DWU810" si="630">DVL810+DVN810</f>
        <v>268378.75</v>
      </c>
      <c r="DVP810" s="11">
        <v>15320</v>
      </c>
      <c r="DVQ810" s="11">
        <v>60900</v>
      </c>
      <c r="DVR810" s="42" t="s">
        <v>937</v>
      </c>
      <c r="DVS810" s="7"/>
      <c r="DVT810" s="7"/>
      <c r="DVU810" s="7"/>
      <c r="DVV810" s="7"/>
      <c r="DVW810" s="7"/>
      <c r="DVX810" s="1"/>
      <c r="DVY810" s="1"/>
      <c r="DVZ810" s="1"/>
      <c r="DWA810" s="1"/>
      <c r="DWB810" s="7"/>
      <c r="DWC810" s="1"/>
      <c r="DWD810" s="1"/>
      <c r="DWE810" s="1"/>
      <c r="DWF810" s="1"/>
      <c r="DWG810" s="1"/>
      <c r="DWH810" s="1"/>
      <c r="DWI810" s="1"/>
      <c r="DWJ810" s="1"/>
      <c r="DWK810" s="1"/>
      <c r="DWL810" s="1"/>
      <c r="DWM810" s="1"/>
      <c r="DWN810" s="41"/>
      <c r="DWO810" s="1"/>
      <c r="DWP810" s="1"/>
      <c r="DWQ810" s="1"/>
      <c r="DWR810" s="1">
        <v>100302.53</v>
      </c>
      <c r="DWS810" s="41">
        <f>13095.23+544.5+254739.02</f>
        <v>268378.75</v>
      </c>
      <c r="DWT810" s="1">
        <f t="shared" si="629"/>
        <v>168076.22</v>
      </c>
      <c r="DWU810" s="1">
        <f t="shared" si="630"/>
        <v>268378.75</v>
      </c>
      <c r="DWV810" s="11">
        <v>15320</v>
      </c>
      <c r="DWW810" s="11">
        <v>60900</v>
      </c>
      <c r="DWX810" s="42" t="s">
        <v>937</v>
      </c>
      <c r="DWY810" s="7"/>
      <c r="DWZ810" s="7"/>
      <c r="DXA810" s="7"/>
      <c r="DXB810" s="7"/>
      <c r="DXC810" s="7"/>
      <c r="DXD810" s="1"/>
      <c r="DXE810" s="1"/>
      <c r="DXF810" s="1"/>
      <c r="DXG810" s="1"/>
      <c r="DXH810" s="7"/>
      <c r="DXI810" s="1"/>
      <c r="DXJ810" s="1"/>
      <c r="DXK810" s="1"/>
      <c r="DXL810" s="1"/>
      <c r="DXM810" s="1"/>
      <c r="DXN810" s="1"/>
      <c r="DXO810" s="1"/>
      <c r="DXP810" s="1"/>
      <c r="DXQ810" s="1"/>
      <c r="DXR810" s="1"/>
      <c r="DXS810" s="1"/>
      <c r="DXT810" s="41"/>
      <c r="DXU810" s="1"/>
      <c r="DXV810" s="1"/>
      <c r="DXW810" s="1"/>
      <c r="DXX810" s="1">
        <v>100302.53</v>
      </c>
      <c r="DXY810" s="41">
        <f>13095.23+544.5+254739.02</f>
        <v>268378.75</v>
      </c>
      <c r="DXZ810" s="1">
        <f t="shared" ref="DXZ810:DZF810" si="631">DXY810-DXX810</f>
        <v>168076.22</v>
      </c>
      <c r="DYA810" s="1">
        <f t="shared" ref="DYA810:DZG810" si="632">DXX810+DXZ810</f>
        <v>268378.75</v>
      </c>
      <c r="DYB810" s="11">
        <v>15320</v>
      </c>
      <c r="DYC810" s="11">
        <v>60900</v>
      </c>
      <c r="DYD810" s="42" t="s">
        <v>937</v>
      </c>
      <c r="DYE810" s="7"/>
      <c r="DYF810" s="7"/>
      <c r="DYG810" s="7"/>
      <c r="DYH810" s="7"/>
      <c r="DYI810" s="7"/>
      <c r="DYJ810" s="1"/>
      <c r="DYK810" s="1"/>
      <c r="DYL810" s="1"/>
      <c r="DYM810" s="1"/>
      <c r="DYN810" s="7"/>
      <c r="DYO810" s="1"/>
      <c r="DYP810" s="1"/>
      <c r="DYQ810" s="1"/>
      <c r="DYR810" s="1"/>
      <c r="DYS810" s="1"/>
      <c r="DYT810" s="1"/>
      <c r="DYU810" s="1"/>
      <c r="DYV810" s="1"/>
      <c r="DYW810" s="1"/>
      <c r="DYX810" s="1"/>
      <c r="DYY810" s="1"/>
      <c r="DYZ810" s="41"/>
      <c r="DZA810" s="1"/>
      <c r="DZB810" s="1"/>
      <c r="DZC810" s="1"/>
      <c r="DZD810" s="1">
        <v>100302.53</v>
      </c>
      <c r="DZE810" s="41">
        <f>13095.23+544.5+254739.02</f>
        <v>268378.75</v>
      </c>
      <c r="DZF810" s="1">
        <f t="shared" si="631"/>
        <v>168076.22</v>
      </c>
      <c r="DZG810" s="1">
        <f t="shared" si="632"/>
        <v>268378.75</v>
      </c>
      <c r="DZH810" s="11">
        <v>15320</v>
      </c>
      <c r="DZI810" s="11">
        <v>60900</v>
      </c>
      <c r="DZJ810" s="42" t="s">
        <v>937</v>
      </c>
      <c r="DZK810" s="7"/>
      <c r="DZL810" s="7"/>
      <c r="DZM810" s="7"/>
      <c r="DZN810" s="7"/>
      <c r="DZO810" s="7"/>
      <c r="DZP810" s="1"/>
      <c r="DZQ810" s="1"/>
      <c r="DZR810" s="1"/>
      <c r="DZS810" s="1"/>
      <c r="DZT810" s="7"/>
      <c r="DZU810" s="1"/>
      <c r="DZV810" s="1"/>
      <c r="DZW810" s="1"/>
      <c r="DZX810" s="1"/>
      <c r="DZY810" s="1"/>
      <c r="DZZ810" s="1"/>
      <c r="EAA810" s="1"/>
      <c r="EAB810" s="1"/>
      <c r="EAC810" s="1"/>
      <c r="EAD810" s="1"/>
      <c r="EAE810" s="1"/>
      <c r="EAF810" s="41"/>
      <c r="EAG810" s="1"/>
      <c r="EAH810" s="1"/>
      <c r="EAI810" s="1"/>
      <c r="EAJ810" s="1">
        <v>100302.53</v>
      </c>
      <c r="EAK810" s="41">
        <f>13095.23+544.5+254739.02</f>
        <v>268378.75</v>
      </c>
      <c r="EAL810" s="1">
        <f t="shared" ref="EAL810:EBR810" si="633">EAK810-EAJ810</f>
        <v>168076.22</v>
      </c>
      <c r="EAM810" s="1">
        <f t="shared" ref="EAM810:EBS810" si="634">EAJ810+EAL810</f>
        <v>268378.75</v>
      </c>
      <c r="EAN810" s="11">
        <v>15320</v>
      </c>
      <c r="EAO810" s="11">
        <v>60900</v>
      </c>
      <c r="EAP810" s="42" t="s">
        <v>937</v>
      </c>
      <c r="EAQ810" s="7"/>
      <c r="EAR810" s="7"/>
      <c r="EAS810" s="7"/>
      <c r="EAT810" s="7"/>
      <c r="EAU810" s="7"/>
      <c r="EAV810" s="1"/>
      <c r="EAW810" s="1"/>
      <c r="EAX810" s="1"/>
      <c r="EAY810" s="1"/>
      <c r="EAZ810" s="7"/>
      <c r="EBA810" s="1"/>
      <c r="EBB810" s="1"/>
      <c r="EBC810" s="1"/>
      <c r="EBD810" s="1"/>
      <c r="EBE810" s="1"/>
      <c r="EBF810" s="1"/>
      <c r="EBG810" s="1"/>
      <c r="EBH810" s="1"/>
      <c r="EBI810" s="1"/>
      <c r="EBJ810" s="1"/>
      <c r="EBK810" s="1"/>
      <c r="EBL810" s="41"/>
      <c r="EBM810" s="1"/>
      <c r="EBN810" s="1"/>
      <c r="EBO810" s="1"/>
      <c r="EBP810" s="1">
        <v>100302.53</v>
      </c>
      <c r="EBQ810" s="41">
        <f>13095.23+544.5+254739.02</f>
        <v>268378.75</v>
      </c>
      <c r="EBR810" s="1">
        <f t="shared" si="633"/>
        <v>168076.22</v>
      </c>
      <c r="EBS810" s="1">
        <f t="shared" si="634"/>
        <v>268378.75</v>
      </c>
      <c r="EBT810" s="11">
        <v>15320</v>
      </c>
      <c r="EBU810" s="11">
        <v>60900</v>
      </c>
      <c r="EBV810" s="42" t="s">
        <v>937</v>
      </c>
      <c r="EBW810" s="7"/>
      <c r="EBX810" s="7"/>
      <c r="EBY810" s="7"/>
      <c r="EBZ810" s="7"/>
      <c r="ECA810" s="7"/>
      <c r="ECB810" s="1"/>
      <c r="ECC810" s="1"/>
      <c r="ECD810" s="1"/>
      <c r="ECE810" s="1"/>
      <c r="ECF810" s="7"/>
      <c r="ECG810" s="1"/>
      <c r="ECH810" s="1"/>
      <c r="ECI810" s="1"/>
      <c r="ECJ810" s="1"/>
      <c r="ECK810" s="1"/>
      <c r="ECL810" s="1"/>
      <c r="ECM810" s="1"/>
      <c r="ECN810" s="1"/>
      <c r="ECO810" s="1"/>
      <c r="ECP810" s="1"/>
      <c r="ECQ810" s="1"/>
      <c r="ECR810" s="41"/>
      <c r="ECS810" s="1"/>
      <c r="ECT810" s="1"/>
      <c r="ECU810" s="1"/>
      <c r="ECV810" s="1">
        <v>100302.53</v>
      </c>
      <c r="ECW810" s="41">
        <f>13095.23+544.5+254739.02</f>
        <v>268378.75</v>
      </c>
      <c r="ECX810" s="1">
        <f t="shared" ref="ECX810:EED810" si="635">ECW810-ECV810</f>
        <v>168076.22</v>
      </c>
      <c r="ECY810" s="1">
        <f t="shared" ref="ECY810:EEE810" si="636">ECV810+ECX810</f>
        <v>268378.75</v>
      </c>
      <c r="ECZ810" s="11">
        <v>15320</v>
      </c>
      <c r="EDA810" s="11">
        <v>60900</v>
      </c>
      <c r="EDB810" s="42" t="s">
        <v>937</v>
      </c>
      <c r="EDC810" s="7"/>
      <c r="EDD810" s="7"/>
      <c r="EDE810" s="7"/>
      <c r="EDF810" s="7"/>
      <c r="EDG810" s="7"/>
      <c r="EDH810" s="1"/>
      <c r="EDI810" s="1"/>
      <c r="EDJ810" s="1"/>
      <c r="EDK810" s="1"/>
      <c r="EDL810" s="7"/>
      <c r="EDM810" s="1"/>
      <c r="EDN810" s="1"/>
      <c r="EDO810" s="1"/>
      <c r="EDP810" s="1"/>
      <c r="EDQ810" s="1"/>
      <c r="EDR810" s="1"/>
      <c r="EDS810" s="1"/>
      <c r="EDT810" s="1"/>
      <c r="EDU810" s="1"/>
      <c r="EDV810" s="1"/>
      <c r="EDW810" s="1"/>
      <c r="EDX810" s="41"/>
      <c r="EDY810" s="1"/>
      <c r="EDZ810" s="1"/>
      <c r="EEA810" s="1"/>
      <c r="EEB810" s="1">
        <v>100302.53</v>
      </c>
      <c r="EEC810" s="41">
        <f>13095.23+544.5+254739.02</f>
        <v>268378.75</v>
      </c>
      <c r="EED810" s="1">
        <f t="shared" si="635"/>
        <v>168076.22</v>
      </c>
      <c r="EEE810" s="1">
        <f t="shared" si="636"/>
        <v>268378.75</v>
      </c>
      <c r="EEF810" s="11">
        <v>15320</v>
      </c>
      <c r="EEG810" s="11">
        <v>60900</v>
      </c>
      <c r="EEH810" s="42" t="s">
        <v>937</v>
      </c>
      <c r="EEI810" s="7"/>
      <c r="EEJ810" s="7"/>
      <c r="EEK810" s="7"/>
      <c r="EEL810" s="7"/>
      <c r="EEM810" s="7"/>
      <c r="EEN810" s="1"/>
      <c r="EEO810" s="1"/>
      <c r="EEP810" s="1"/>
      <c r="EEQ810" s="1"/>
      <c r="EER810" s="7"/>
      <c r="EES810" s="1"/>
      <c r="EET810" s="1"/>
      <c r="EEU810" s="1"/>
      <c r="EEV810" s="1"/>
      <c r="EEW810" s="1"/>
      <c r="EEX810" s="1"/>
      <c r="EEY810" s="1"/>
      <c r="EEZ810" s="1"/>
      <c r="EFA810" s="1"/>
      <c r="EFB810" s="1"/>
      <c r="EFC810" s="1"/>
      <c r="EFD810" s="41"/>
      <c r="EFE810" s="1"/>
      <c r="EFF810" s="1"/>
      <c r="EFG810" s="1"/>
      <c r="EFH810" s="1">
        <v>100302.53</v>
      </c>
      <c r="EFI810" s="41">
        <f>13095.23+544.5+254739.02</f>
        <v>268378.75</v>
      </c>
      <c r="EFJ810" s="1">
        <f t="shared" ref="EFJ810:EGP810" si="637">EFI810-EFH810</f>
        <v>168076.22</v>
      </c>
      <c r="EFK810" s="1">
        <f t="shared" ref="EFK810:EGQ810" si="638">EFH810+EFJ810</f>
        <v>268378.75</v>
      </c>
      <c r="EFL810" s="11">
        <v>15320</v>
      </c>
      <c r="EFM810" s="11">
        <v>60900</v>
      </c>
      <c r="EFN810" s="42" t="s">
        <v>937</v>
      </c>
      <c r="EFO810" s="7"/>
      <c r="EFP810" s="7"/>
      <c r="EFQ810" s="7"/>
      <c r="EFR810" s="7"/>
      <c r="EFS810" s="7"/>
      <c r="EFT810" s="1"/>
      <c r="EFU810" s="1"/>
      <c r="EFV810" s="1"/>
      <c r="EFW810" s="1"/>
      <c r="EFX810" s="7"/>
      <c r="EFY810" s="1"/>
      <c r="EFZ810" s="1"/>
      <c r="EGA810" s="1"/>
      <c r="EGB810" s="1"/>
      <c r="EGC810" s="1"/>
      <c r="EGD810" s="1"/>
      <c r="EGE810" s="1"/>
      <c r="EGF810" s="1"/>
      <c r="EGG810" s="1"/>
      <c r="EGH810" s="1"/>
      <c r="EGI810" s="1"/>
      <c r="EGJ810" s="41"/>
      <c r="EGK810" s="1"/>
      <c r="EGL810" s="1"/>
      <c r="EGM810" s="1"/>
      <c r="EGN810" s="1">
        <v>100302.53</v>
      </c>
      <c r="EGO810" s="41">
        <f>13095.23+544.5+254739.02</f>
        <v>268378.75</v>
      </c>
      <c r="EGP810" s="1">
        <f t="shared" si="637"/>
        <v>168076.22</v>
      </c>
      <c r="EGQ810" s="1">
        <f t="shared" si="638"/>
        <v>268378.75</v>
      </c>
      <c r="EGR810" s="11">
        <v>15320</v>
      </c>
      <c r="EGS810" s="11">
        <v>60900</v>
      </c>
      <c r="EGT810" s="42" t="s">
        <v>937</v>
      </c>
      <c r="EGU810" s="7"/>
      <c r="EGV810" s="7"/>
      <c r="EGW810" s="7"/>
      <c r="EGX810" s="7"/>
      <c r="EGY810" s="7"/>
      <c r="EGZ810" s="1"/>
      <c r="EHA810" s="1"/>
      <c r="EHB810" s="1"/>
      <c r="EHC810" s="1"/>
      <c r="EHD810" s="7"/>
      <c r="EHE810" s="1"/>
      <c r="EHF810" s="1"/>
      <c r="EHG810" s="1"/>
      <c r="EHH810" s="1"/>
      <c r="EHI810" s="1"/>
      <c r="EHJ810" s="1"/>
      <c r="EHK810" s="1"/>
      <c r="EHL810" s="1"/>
      <c r="EHM810" s="1"/>
      <c r="EHN810" s="1"/>
      <c r="EHO810" s="1"/>
      <c r="EHP810" s="41"/>
      <c r="EHQ810" s="1"/>
      <c r="EHR810" s="1"/>
      <c r="EHS810" s="1"/>
      <c r="EHT810" s="1">
        <v>100302.53</v>
      </c>
      <c r="EHU810" s="41">
        <f>13095.23+544.5+254739.02</f>
        <v>268378.75</v>
      </c>
      <c r="EHV810" s="1">
        <f t="shared" ref="EHV810:EJB810" si="639">EHU810-EHT810</f>
        <v>168076.22</v>
      </c>
      <c r="EHW810" s="1">
        <f t="shared" ref="EHW810:EJC810" si="640">EHT810+EHV810</f>
        <v>268378.75</v>
      </c>
      <c r="EHX810" s="11">
        <v>15320</v>
      </c>
      <c r="EHY810" s="11">
        <v>60900</v>
      </c>
      <c r="EHZ810" s="42" t="s">
        <v>937</v>
      </c>
      <c r="EIA810" s="7"/>
      <c r="EIB810" s="7"/>
      <c r="EIC810" s="7"/>
      <c r="EID810" s="7"/>
      <c r="EIE810" s="7"/>
      <c r="EIF810" s="1"/>
      <c r="EIG810" s="1"/>
      <c r="EIH810" s="1"/>
      <c r="EII810" s="1"/>
      <c r="EIJ810" s="7"/>
      <c r="EIK810" s="1"/>
      <c r="EIL810" s="1"/>
      <c r="EIM810" s="1"/>
      <c r="EIN810" s="1"/>
      <c r="EIO810" s="1"/>
      <c r="EIP810" s="1"/>
      <c r="EIQ810" s="1"/>
      <c r="EIR810" s="1"/>
      <c r="EIS810" s="1"/>
      <c r="EIT810" s="1"/>
      <c r="EIU810" s="1"/>
      <c r="EIV810" s="41"/>
      <c r="EIW810" s="1"/>
      <c r="EIX810" s="1"/>
      <c r="EIY810" s="1"/>
      <c r="EIZ810" s="1">
        <v>100302.53</v>
      </c>
      <c r="EJA810" s="41">
        <f>13095.23+544.5+254739.02</f>
        <v>268378.75</v>
      </c>
      <c r="EJB810" s="1">
        <f t="shared" si="639"/>
        <v>168076.22</v>
      </c>
      <c r="EJC810" s="1">
        <f t="shared" si="640"/>
        <v>268378.75</v>
      </c>
      <c r="EJD810" s="11">
        <v>15320</v>
      </c>
      <c r="EJE810" s="11">
        <v>60900</v>
      </c>
      <c r="EJF810" s="42" t="s">
        <v>937</v>
      </c>
      <c r="EJG810" s="7"/>
      <c r="EJH810" s="7"/>
      <c r="EJI810" s="7"/>
      <c r="EJJ810" s="7"/>
      <c r="EJK810" s="7"/>
      <c r="EJL810" s="1"/>
      <c r="EJM810" s="1"/>
      <c r="EJN810" s="1"/>
      <c r="EJO810" s="1"/>
      <c r="EJP810" s="7"/>
      <c r="EJQ810" s="1"/>
      <c r="EJR810" s="1"/>
      <c r="EJS810" s="1"/>
      <c r="EJT810" s="1"/>
      <c r="EJU810" s="1"/>
      <c r="EJV810" s="1"/>
      <c r="EJW810" s="1"/>
      <c r="EJX810" s="1"/>
      <c r="EJY810" s="1"/>
      <c r="EJZ810" s="1"/>
      <c r="EKA810" s="1"/>
      <c r="EKB810" s="41"/>
      <c r="EKC810" s="1"/>
      <c r="EKD810" s="1"/>
      <c r="EKE810" s="1"/>
      <c r="EKF810" s="1">
        <v>100302.53</v>
      </c>
      <c r="EKG810" s="41">
        <f>13095.23+544.5+254739.02</f>
        <v>268378.75</v>
      </c>
      <c r="EKH810" s="1">
        <f t="shared" ref="EKH810:ELN810" si="641">EKG810-EKF810</f>
        <v>168076.22</v>
      </c>
      <c r="EKI810" s="1">
        <f t="shared" ref="EKI810:ELO810" si="642">EKF810+EKH810</f>
        <v>268378.75</v>
      </c>
      <c r="EKJ810" s="11">
        <v>15320</v>
      </c>
      <c r="EKK810" s="11">
        <v>60900</v>
      </c>
      <c r="EKL810" s="42" t="s">
        <v>937</v>
      </c>
      <c r="EKM810" s="7"/>
      <c r="EKN810" s="7"/>
      <c r="EKO810" s="7"/>
      <c r="EKP810" s="7"/>
      <c r="EKQ810" s="7"/>
      <c r="EKR810" s="1"/>
      <c r="EKS810" s="1"/>
      <c r="EKT810" s="1"/>
      <c r="EKU810" s="1"/>
      <c r="EKV810" s="7"/>
      <c r="EKW810" s="1"/>
      <c r="EKX810" s="1"/>
      <c r="EKY810" s="1"/>
      <c r="EKZ810" s="1"/>
      <c r="ELA810" s="1"/>
      <c r="ELB810" s="1"/>
      <c r="ELC810" s="1"/>
      <c r="ELD810" s="1"/>
      <c r="ELE810" s="1"/>
      <c r="ELF810" s="1"/>
      <c r="ELG810" s="1"/>
      <c r="ELH810" s="41"/>
      <c r="ELI810" s="1"/>
      <c r="ELJ810" s="1"/>
      <c r="ELK810" s="1"/>
      <c r="ELL810" s="1">
        <v>100302.53</v>
      </c>
      <c r="ELM810" s="41">
        <f>13095.23+544.5+254739.02</f>
        <v>268378.75</v>
      </c>
      <c r="ELN810" s="1">
        <f t="shared" si="641"/>
        <v>168076.22</v>
      </c>
      <c r="ELO810" s="1">
        <f t="shared" si="642"/>
        <v>268378.75</v>
      </c>
      <c r="ELP810" s="11">
        <v>15320</v>
      </c>
      <c r="ELQ810" s="11">
        <v>60900</v>
      </c>
      <c r="ELR810" s="42" t="s">
        <v>937</v>
      </c>
      <c r="ELS810" s="7"/>
      <c r="ELT810" s="7"/>
      <c r="ELU810" s="7"/>
      <c r="ELV810" s="7"/>
      <c r="ELW810" s="7"/>
      <c r="ELX810" s="1"/>
      <c r="ELY810" s="1"/>
      <c r="ELZ810" s="1"/>
      <c r="EMA810" s="1"/>
      <c r="EMB810" s="7"/>
      <c r="EMC810" s="1"/>
      <c r="EMD810" s="1"/>
      <c r="EME810" s="1"/>
      <c r="EMF810" s="1"/>
      <c r="EMG810" s="1"/>
      <c r="EMH810" s="1"/>
      <c r="EMI810" s="1"/>
      <c r="EMJ810" s="1"/>
      <c r="EMK810" s="1"/>
      <c r="EML810" s="1"/>
      <c r="EMM810" s="1"/>
      <c r="EMN810" s="41"/>
      <c r="EMO810" s="1"/>
      <c r="EMP810" s="1"/>
      <c r="EMQ810" s="1"/>
      <c r="EMR810" s="1">
        <v>100302.53</v>
      </c>
      <c r="EMS810" s="41">
        <f>13095.23+544.5+254739.02</f>
        <v>268378.75</v>
      </c>
      <c r="EMT810" s="1">
        <f t="shared" ref="EMT810:ENZ810" si="643">EMS810-EMR810</f>
        <v>168076.22</v>
      </c>
      <c r="EMU810" s="1">
        <f t="shared" ref="EMU810:EOA810" si="644">EMR810+EMT810</f>
        <v>268378.75</v>
      </c>
      <c r="EMV810" s="11">
        <v>15320</v>
      </c>
      <c r="EMW810" s="11">
        <v>60900</v>
      </c>
      <c r="EMX810" s="42" t="s">
        <v>937</v>
      </c>
      <c r="EMY810" s="7"/>
      <c r="EMZ810" s="7"/>
      <c r="ENA810" s="7"/>
      <c r="ENB810" s="7"/>
      <c r="ENC810" s="7"/>
      <c r="END810" s="1"/>
      <c r="ENE810" s="1"/>
      <c r="ENF810" s="1"/>
      <c r="ENG810" s="1"/>
      <c r="ENH810" s="7"/>
      <c r="ENI810" s="1"/>
      <c r="ENJ810" s="1"/>
      <c r="ENK810" s="1"/>
      <c r="ENL810" s="1"/>
      <c r="ENM810" s="1"/>
      <c r="ENN810" s="1"/>
      <c r="ENO810" s="1"/>
      <c r="ENP810" s="1"/>
      <c r="ENQ810" s="1"/>
      <c r="ENR810" s="1"/>
      <c r="ENS810" s="1"/>
      <c r="ENT810" s="41"/>
      <c r="ENU810" s="1"/>
      <c r="ENV810" s="1"/>
      <c r="ENW810" s="1"/>
      <c r="ENX810" s="1">
        <v>100302.53</v>
      </c>
      <c r="ENY810" s="41">
        <f>13095.23+544.5+254739.02</f>
        <v>268378.75</v>
      </c>
      <c r="ENZ810" s="1">
        <f t="shared" si="643"/>
        <v>168076.22</v>
      </c>
      <c r="EOA810" s="1">
        <f t="shared" si="644"/>
        <v>268378.75</v>
      </c>
      <c r="EOB810" s="11">
        <v>15320</v>
      </c>
      <c r="EOC810" s="11">
        <v>60900</v>
      </c>
      <c r="EOD810" s="42" t="s">
        <v>937</v>
      </c>
      <c r="EOE810" s="7"/>
      <c r="EOF810" s="7"/>
      <c r="EOG810" s="7"/>
      <c r="EOH810" s="7"/>
      <c r="EOI810" s="7"/>
      <c r="EOJ810" s="1"/>
      <c r="EOK810" s="1"/>
      <c r="EOL810" s="1"/>
      <c r="EOM810" s="1"/>
      <c r="EON810" s="7"/>
      <c r="EOO810" s="1"/>
      <c r="EOP810" s="1"/>
      <c r="EOQ810" s="1"/>
      <c r="EOR810" s="1"/>
      <c r="EOS810" s="1"/>
      <c r="EOT810" s="1"/>
      <c r="EOU810" s="1"/>
      <c r="EOV810" s="1"/>
      <c r="EOW810" s="1"/>
      <c r="EOX810" s="1"/>
      <c r="EOY810" s="1"/>
      <c r="EOZ810" s="41"/>
      <c r="EPA810" s="1"/>
      <c r="EPB810" s="1"/>
      <c r="EPC810" s="1"/>
      <c r="EPD810" s="1">
        <v>100302.53</v>
      </c>
      <c r="EPE810" s="41">
        <f>13095.23+544.5+254739.02</f>
        <v>268378.75</v>
      </c>
      <c r="EPF810" s="1">
        <f t="shared" ref="EPF810:EQL810" si="645">EPE810-EPD810</f>
        <v>168076.22</v>
      </c>
      <c r="EPG810" s="1">
        <f t="shared" ref="EPG810:EQM810" si="646">EPD810+EPF810</f>
        <v>268378.75</v>
      </c>
      <c r="EPH810" s="11">
        <v>15320</v>
      </c>
      <c r="EPI810" s="11">
        <v>60900</v>
      </c>
      <c r="EPJ810" s="42" t="s">
        <v>937</v>
      </c>
      <c r="EPK810" s="7"/>
      <c r="EPL810" s="7"/>
      <c r="EPM810" s="7"/>
      <c r="EPN810" s="7"/>
      <c r="EPO810" s="7"/>
      <c r="EPP810" s="1"/>
      <c r="EPQ810" s="1"/>
      <c r="EPR810" s="1"/>
      <c r="EPS810" s="1"/>
      <c r="EPT810" s="7"/>
      <c r="EPU810" s="1"/>
      <c r="EPV810" s="1"/>
      <c r="EPW810" s="1"/>
      <c r="EPX810" s="1"/>
      <c r="EPY810" s="1"/>
      <c r="EPZ810" s="1"/>
      <c r="EQA810" s="1"/>
      <c r="EQB810" s="1"/>
      <c r="EQC810" s="1"/>
      <c r="EQD810" s="1"/>
      <c r="EQE810" s="1"/>
      <c r="EQF810" s="41"/>
      <c r="EQG810" s="1"/>
      <c r="EQH810" s="1"/>
      <c r="EQI810" s="1"/>
      <c r="EQJ810" s="1">
        <v>100302.53</v>
      </c>
      <c r="EQK810" s="41">
        <f>13095.23+544.5+254739.02</f>
        <v>268378.75</v>
      </c>
      <c r="EQL810" s="1">
        <f t="shared" si="645"/>
        <v>168076.22</v>
      </c>
      <c r="EQM810" s="1">
        <f t="shared" si="646"/>
        <v>268378.75</v>
      </c>
      <c r="EQN810" s="11">
        <v>15320</v>
      </c>
      <c r="EQO810" s="11">
        <v>60900</v>
      </c>
      <c r="EQP810" s="42" t="s">
        <v>937</v>
      </c>
      <c r="EQQ810" s="7"/>
      <c r="EQR810" s="7"/>
      <c r="EQS810" s="7"/>
      <c r="EQT810" s="7"/>
      <c r="EQU810" s="7"/>
      <c r="EQV810" s="1"/>
      <c r="EQW810" s="1"/>
      <c r="EQX810" s="1"/>
      <c r="EQY810" s="1"/>
      <c r="EQZ810" s="7"/>
      <c r="ERA810" s="1"/>
      <c r="ERB810" s="1"/>
      <c r="ERC810" s="1"/>
      <c r="ERD810" s="1"/>
      <c r="ERE810" s="1"/>
      <c r="ERF810" s="1"/>
      <c r="ERG810" s="1"/>
      <c r="ERH810" s="1"/>
      <c r="ERI810" s="1"/>
      <c r="ERJ810" s="1"/>
      <c r="ERK810" s="1"/>
      <c r="ERL810" s="41"/>
      <c r="ERM810" s="1"/>
      <c r="ERN810" s="1"/>
      <c r="ERO810" s="1"/>
      <c r="ERP810" s="1">
        <v>100302.53</v>
      </c>
      <c r="ERQ810" s="41">
        <f>13095.23+544.5+254739.02</f>
        <v>268378.75</v>
      </c>
      <c r="ERR810" s="1">
        <f t="shared" ref="ERR810:ESX810" si="647">ERQ810-ERP810</f>
        <v>168076.22</v>
      </c>
      <c r="ERS810" s="1">
        <f t="shared" ref="ERS810:ESY810" si="648">ERP810+ERR810</f>
        <v>268378.75</v>
      </c>
      <c r="ERT810" s="11">
        <v>15320</v>
      </c>
      <c r="ERU810" s="11">
        <v>60900</v>
      </c>
      <c r="ERV810" s="42" t="s">
        <v>937</v>
      </c>
      <c r="ERW810" s="7"/>
      <c r="ERX810" s="7"/>
      <c r="ERY810" s="7"/>
      <c r="ERZ810" s="7"/>
      <c r="ESA810" s="7"/>
      <c r="ESB810" s="1"/>
      <c r="ESC810" s="1"/>
      <c r="ESD810" s="1"/>
      <c r="ESE810" s="1"/>
      <c r="ESF810" s="7"/>
      <c r="ESG810" s="1"/>
      <c r="ESH810" s="1"/>
      <c r="ESI810" s="1"/>
      <c r="ESJ810" s="1"/>
      <c r="ESK810" s="1"/>
      <c r="ESL810" s="1"/>
      <c r="ESM810" s="1"/>
      <c r="ESN810" s="1"/>
      <c r="ESO810" s="1"/>
      <c r="ESP810" s="1"/>
      <c r="ESQ810" s="1"/>
      <c r="ESR810" s="41"/>
      <c r="ESS810" s="1"/>
      <c r="EST810" s="1"/>
      <c r="ESU810" s="1"/>
      <c r="ESV810" s="1">
        <v>100302.53</v>
      </c>
      <c r="ESW810" s="41">
        <f>13095.23+544.5+254739.02</f>
        <v>268378.75</v>
      </c>
      <c r="ESX810" s="1">
        <f t="shared" si="647"/>
        <v>168076.22</v>
      </c>
      <c r="ESY810" s="1">
        <f t="shared" si="648"/>
        <v>268378.75</v>
      </c>
      <c r="ESZ810" s="11">
        <v>15320</v>
      </c>
      <c r="ETA810" s="11">
        <v>60900</v>
      </c>
      <c r="ETB810" s="42" t="s">
        <v>937</v>
      </c>
      <c r="ETC810" s="7"/>
      <c r="ETD810" s="7"/>
      <c r="ETE810" s="7"/>
      <c r="ETF810" s="7"/>
      <c r="ETG810" s="7"/>
      <c r="ETH810" s="1"/>
      <c r="ETI810" s="1"/>
      <c r="ETJ810" s="1"/>
      <c r="ETK810" s="1"/>
      <c r="ETL810" s="7"/>
      <c r="ETM810" s="1"/>
      <c r="ETN810" s="1"/>
      <c r="ETO810" s="1"/>
      <c r="ETP810" s="1"/>
      <c r="ETQ810" s="1"/>
      <c r="ETR810" s="1"/>
      <c r="ETS810" s="1"/>
      <c r="ETT810" s="1"/>
      <c r="ETU810" s="1"/>
      <c r="ETV810" s="1"/>
      <c r="ETW810" s="1"/>
      <c r="ETX810" s="41"/>
      <c r="ETY810" s="1"/>
      <c r="ETZ810" s="1"/>
      <c r="EUA810" s="1"/>
      <c r="EUB810" s="1">
        <v>100302.53</v>
      </c>
      <c r="EUC810" s="41">
        <f>13095.23+544.5+254739.02</f>
        <v>268378.75</v>
      </c>
      <c r="EUD810" s="1">
        <f t="shared" ref="EUD810:EVJ810" si="649">EUC810-EUB810</f>
        <v>168076.22</v>
      </c>
      <c r="EUE810" s="1">
        <f t="shared" ref="EUE810:EVK810" si="650">EUB810+EUD810</f>
        <v>268378.75</v>
      </c>
      <c r="EUF810" s="11">
        <v>15320</v>
      </c>
      <c r="EUG810" s="11">
        <v>60900</v>
      </c>
      <c r="EUH810" s="42" t="s">
        <v>937</v>
      </c>
      <c r="EUI810" s="7"/>
      <c r="EUJ810" s="7"/>
      <c r="EUK810" s="7"/>
      <c r="EUL810" s="7"/>
      <c r="EUM810" s="7"/>
      <c r="EUN810" s="1"/>
      <c r="EUO810" s="1"/>
      <c r="EUP810" s="1"/>
      <c r="EUQ810" s="1"/>
      <c r="EUR810" s="7"/>
      <c r="EUS810" s="1"/>
      <c r="EUT810" s="1"/>
      <c r="EUU810" s="1"/>
      <c r="EUV810" s="1"/>
      <c r="EUW810" s="1"/>
      <c r="EUX810" s="1"/>
      <c r="EUY810" s="1"/>
      <c r="EUZ810" s="1"/>
      <c r="EVA810" s="1"/>
      <c r="EVB810" s="1"/>
      <c r="EVC810" s="1"/>
      <c r="EVD810" s="41"/>
      <c r="EVE810" s="1"/>
      <c r="EVF810" s="1"/>
      <c r="EVG810" s="1"/>
      <c r="EVH810" s="1">
        <v>100302.53</v>
      </c>
      <c r="EVI810" s="41">
        <f>13095.23+544.5+254739.02</f>
        <v>268378.75</v>
      </c>
      <c r="EVJ810" s="1">
        <f t="shared" si="649"/>
        <v>168076.22</v>
      </c>
      <c r="EVK810" s="1">
        <f t="shared" si="650"/>
        <v>268378.75</v>
      </c>
      <c r="EVL810" s="11">
        <v>15320</v>
      </c>
      <c r="EVM810" s="11">
        <v>60900</v>
      </c>
      <c r="EVN810" s="42" t="s">
        <v>937</v>
      </c>
      <c r="EVO810" s="7"/>
      <c r="EVP810" s="7"/>
      <c r="EVQ810" s="7"/>
      <c r="EVR810" s="7"/>
      <c r="EVS810" s="7"/>
      <c r="EVT810" s="1"/>
      <c r="EVU810" s="1"/>
      <c r="EVV810" s="1"/>
      <c r="EVW810" s="1"/>
      <c r="EVX810" s="7"/>
      <c r="EVY810" s="1"/>
      <c r="EVZ810" s="1"/>
      <c r="EWA810" s="1"/>
      <c r="EWB810" s="1"/>
      <c r="EWC810" s="1"/>
      <c r="EWD810" s="1"/>
      <c r="EWE810" s="1"/>
      <c r="EWF810" s="1"/>
      <c r="EWG810" s="1"/>
      <c r="EWH810" s="1"/>
      <c r="EWI810" s="1"/>
      <c r="EWJ810" s="41"/>
      <c r="EWK810" s="1"/>
      <c r="EWL810" s="1"/>
      <c r="EWM810" s="1"/>
      <c r="EWN810" s="1">
        <v>100302.53</v>
      </c>
      <c r="EWO810" s="41">
        <f>13095.23+544.5+254739.02</f>
        <v>268378.75</v>
      </c>
      <c r="EWP810" s="1">
        <f t="shared" ref="EWP810:EXV810" si="651">EWO810-EWN810</f>
        <v>168076.22</v>
      </c>
      <c r="EWQ810" s="1">
        <f t="shared" ref="EWQ810:EXW810" si="652">EWN810+EWP810</f>
        <v>268378.75</v>
      </c>
      <c r="EWR810" s="11">
        <v>15320</v>
      </c>
      <c r="EWS810" s="11">
        <v>60900</v>
      </c>
      <c r="EWT810" s="42" t="s">
        <v>937</v>
      </c>
      <c r="EWU810" s="7"/>
      <c r="EWV810" s="7"/>
      <c r="EWW810" s="7"/>
      <c r="EWX810" s="7"/>
      <c r="EWY810" s="7"/>
      <c r="EWZ810" s="1"/>
      <c r="EXA810" s="1"/>
      <c r="EXB810" s="1"/>
      <c r="EXC810" s="1"/>
      <c r="EXD810" s="7"/>
      <c r="EXE810" s="1"/>
      <c r="EXF810" s="1"/>
      <c r="EXG810" s="1"/>
      <c r="EXH810" s="1"/>
      <c r="EXI810" s="1"/>
      <c r="EXJ810" s="1"/>
      <c r="EXK810" s="1"/>
      <c r="EXL810" s="1"/>
      <c r="EXM810" s="1"/>
      <c r="EXN810" s="1"/>
      <c r="EXO810" s="1"/>
      <c r="EXP810" s="41"/>
      <c r="EXQ810" s="1"/>
      <c r="EXR810" s="1"/>
      <c r="EXS810" s="1"/>
      <c r="EXT810" s="1">
        <v>100302.53</v>
      </c>
      <c r="EXU810" s="41">
        <f>13095.23+544.5+254739.02</f>
        <v>268378.75</v>
      </c>
      <c r="EXV810" s="1">
        <f t="shared" si="651"/>
        <v>168076.22</v>
      </c>
      <c r="EXW810" s="1">
        <f t="shared" si="652"/>
        <v>268378.75</v>
      </c>
      <c r="EXX810" s="11">
        <v>15320</v>
      </c>
      <c r="EXY810" s="11">
        <v>60900</v>
      </c>
      <c r="EXZ810" s="42" t="s">
        <v>937</v>
      </c>
      <c r="EYA810" s="7"/>
      <c r="EYB810" s="7"/>
      <c r="EYC810" s="7"/>
      <c r="EYD810" s="7"/>
      <c r="EYE810" s="7"/>
      <c r="EYF810" s="1"/>
      <c r="EYG810" s="1"/>
      <c r="EYH810" s="1"/>
      <c r="EYI810" s="1"/>
      <c r="EYJ810" s="7"/>
      <c r="EYK810" s="1"/>
      <c r="EYL810" s="1"/>
      <c r="EYM810" s="1"/>
      <c r="EYN810" s="1"/>
      <c r="EYO810" s="1"/>
      <c r="EYP810" s="1"/>
      <c r="EYQ810" s="1"/>
      <c r="EYR810" s="1"/>
      <c r="EYS810" s="1"/>
      <c r="EYT810" s="1"/>
      <c r="EYU810" s="1"/>
      <c r="EYV810" s="41"/>
      <c r="EYW810" s="1"/>
      <c r="EYX810" s="1"/>
      <c r="EYY810" s="1"/>
      <c r="EYZ810" s="1">
        <v>100302.53</v>
      </c>
      <c r="EZA810" s="41">
        <f>13095.23+544.5+254739.02</f>
        <v>268378.75</v>
      </c>
      <c r="EZB810" s="1">
        <f t="shared" ref="EZB810:FAH810" si="653">EZA810-EYZ810</f>
        <v>168076.22</v>
      </c>
      <c r="EZC810" s="1">
        <f t="shared" ref="EZC810:FAI810" si="654">EYZ810+EZB810</f>
        <v>268378.75</v>
      </c>
      <c r="EZD810" s="11">
        <v>15320</v>
      </c>
      <c r="EZE810" s="11">
        <v>60900</v>
      </c>
      <c r="EZF810" s="42" t="s">
        <v>937</v>
      </c>
      <c r="EZG810" s="7"/>
      <c r="EZH810" s="7"/>
      <c r="EZI810" s="7"/>
      <c r="EZJ810" s="7"/>
      <c r="EZK810" s="7"/>
      <c r="EZL810" s="1"/>
      <c r="EZM810" s="1"/>
      <c r="EZN810" s="1"/>
      <c r="EZO810" s="1"/>
      <c r="EZP810" s="7"/>
      <c r="EZQ810" s="1"/>
      <c r="EZR810" s="1"/>
      <c r="EZS810" s="1"/>
      <c r="EZT810" s="1"/>
      <c r="EZU810" s="1"/>
      <c r="EZV810" s="1"/>
      <c r="EZW810" s="1"/>
      <c r="EZX810" s="1"/>
      <c r="EZY810" s="1"/>
      <c r="EZZ810" s="1"/>
      <c r="FAA810" s="1"/>
      <c r="FAB810" s="41"/>
      <c r="FAC810" s="1"/>
      <c r="FAD810" s="1"/>
      <c r="FAE810" s="1"/>
      <c r="FAF810" s="1">
        <v>100302.53</v>
      </c>
      <c r="FAG810" s="41">
        <f>13095.23+544.5+254739.02</f>
        <v>268378.75</v>
      </c>
      <c r="FAH810" s="1">
        <f t="shared" si="653"/>
        <v>168076.22</v>
      </c>
      <c r="FAI810" s="1">
        <f t="shared" si="654"/>
        <v>268378.75</v>
      </c>
      <c r="FAJ810" s="11">
        <v>15320</v>
      </c>
      <c r="FAK810" s="11">
        <v>60900</v>
      </c>
      <c r="FAL810" s="42" t="s">
        <v>937</v>
      </c>
      <c r="FAM810" s="7"/>
      <c r="FAN810" s="7"/>
      <c r="FAO810" s="7"/>
      <c r="FAP810" s="7"/>
      <c r="FAQ810" s="7"/>
      <c r="FAR810" s="1"/>
      <c r="FAS810" s="1"/>
      <c r="FAT810" s="1"/>
      <c r="FAU810" s="1"/>
      <c r="FAV810" s="7"/>
      <c r="FAW810" s="1"/>
      <c r="FAX810" s="1"/>
      <c r="FAY810" s="1"/>
      <c r="FAZ810" s="1"/>
      <c r="FBA810" s="1"/>
      <c r="FBB810" s="1"/>
      <c r="FBC810" s="1"/>
      <c r="FBD810" s="1"/>
      <c r="FBE810" s="1"/>
      <c r="FBF810" s="1"/>
      <c r="FBG810" s="1"/>
      <c r="FBH810" s="41"/>
      <c r="FBI810" s="1"/>
      <c r="FBJ810" s="1"/>
      <c r="FBK810" s="1"/>
      <c r="FBL810" s="1">
        <v>100302.53</v>
      </c>
      <c r="FBM810" s="41">
        <f>13095.23+544.5+254739.02</f>
        <v>268378.75</v>
      </c>
      <c r="FBN810" s="1">
        <f t="shared" ref="FBN810:FCT810" si="655">FBM810-FBL810</f>
        <v>168076.22</v>
      </c>
      <c r="FBO810" s="1">
        <f t="shared" ref="FBO810:FCU810" si="656">FBL810+FBN810</f>
        <v>268378.75</v>
      </c>
      <c r="FBP810" s="11">
        <v>15320</v>
      </c>
      <c r="FBQ810" s="11">
        <v>60900</v>
      </c>
      <c r="FBR810" s="42" t="s">
        <v>937</v>
      </c>
      <c r="FBS810" s="7"/>
      <c r="FBT810" s="7"/>
      <c r="FBU810" s="7"/>
      <c r="FBV810" s="7"/>
      <c r="FBW810" s="7"/>
      <c r="FBX810" s="1"/>
      <c r="FBY810" s="1"/>
      <c r="FBZ810" s="1"/>
      <c r="FCA810" s="1"/>
      <c r="FCB810" s="7"/>
      <c r="FCC810" s="1"/>
      <c r="FCD810" s="1"/>
      <c r="FCE810" s="1"/>
      <c r="FCF810" s="1"/>
      <c r="FCG810" s="1"/>
      <c r="FCH810" s="1"/>
      <c r="FCI810" s="1"/>
      <c r="FCJ810" s="1"/>
      <c r="FCK810" s="1"/>
      <c r="FCL810" s="1"/>
      <c r="FCM810" s="1"/>
      <c r="FCN810" s="41"/>
      <c r="FCO810" s="1"/>
      <c r="FCP810" s="1"/>
      <c r="FCQ810" s="1"/>
      <c r="FCR810" s="1">
        <v>100302.53</v>
      </c>
      <c r="FCS810" s="41">
        <f>13095.23+544.5+254739.02</f>
        <v>268378.75</v>
      </c>
      <c r="FCT810" s="1">
        <f t="shared" si="655"/>
        <v>168076.22</v>
      </c>
      <c r="FCU810" s="1">
        <f t="shared" si="656"/>
        <v>268378.75</v>
      </c>
      <c r="FCV810" s="11">
        <v>15320</v>
      </c>
      <c r="FCW810" s="11">
        <v>60900</v>
      </c>
      <c r="FCX810" s="42" t="s">
        <v>937</v>
      </c>
      <c r="FCY810" s="7"/>
      <c r="FCZ810" s="7"/>
      <c r="FDA810" s="7"/>
      <c r="FDB810" s="7"/>
      <c r="FDC810" s="7"/>
      <c r="FDD810" s="1"/>
      <c r="FDE810" s="1"/>
      <c r="FDF810" s="1"/>
      <c r="FDG810" s="1"/>
      <c r="FDH810" s="7"/>
      <c r="FDI810" s="1"/>
      <c r="FDJ810" s="1"/>
      <c r="FDK810" s="1"/>
      <c r="FDL810" s="1"/>
      <c r="FDM810" s="1"/>
      <c r="FDN810" s="1"/>
      <c r="FDO810" s="1"/>
      <c r="FDP810" s="1"/>
      <c r="FDQ810" s="1"/>
      <c r="FDR810" s="1"/>
      <c r="FDS810" s="1"/>
      <c r="FDT810" s="41"/>
      <c r="FDU810" s="1"/>
      <c r="FDV810" s="1"/>
      <c r="FDW810" s="1"/>
      <c r="FDX810" s="1">
        <v>100302.53</v>
      </c>
      <c r="FDY810" s="41">
        <f>13095.23+544.5+254739.02</f>
        <v>268378.75</v>
      </c>
      <c r="FDZ810" s="1">
        <f t="shared" ref="FDZ810:FFF810" si="657">FDY810-FDX810</f>
        <v>168076.22</v>
      </c>
      <c r="FEA810" s="1">
        <f t="shared" ref="FEA810:FFG810" si="658">FDX810+FDZ810</f>
        <v>268378.75</v>
      </c>
      <c r="FEB810" s="11">
        <v>15320</v>
      </c>
      <c r="FEC810" s="11">
        <v>60900</v>
      </c>
      <c r="FED810" s="42" t="s">
        <v>937</v>
      </c>
      <c r="FEE810" s="7"/>
      <c r="FEF810" s="7"/>
      <c r="FEG810" s="7"/>
      <c r="FEH810" s="7"/>
      <c r="FEI810" s="7"/>
      <c r="FEJ810" s="1"/>
      <c r="FEK810" s="1"/>
      <c r="FEL810" s="1"/>
      <c r="FEM810" s="1"/>
      <c r="FEN810" s="7"/>
      <c r="FEO810" s="1"/>
      <c r="FEP810" s="1"/>
      <c r="FEQ810" s="1"/>
      <c r="FER810" s="1"/>
      <c r="FES810" s="1"/>
      <c r="FET810" s="1"/>
      <c r="FEU810" s="1"/>
      <c r="FEV810" s="1"/>
      <c r="FEW810" s="1"/>
      <c r="FEX810" s="1"/>
      <c r="FEY810" s="1"/>
      <c r="FEZ810" s="41"/>
      <c r="FFA810" s="1"/>
      <c r="FFB810" s="1"/>
      <c r="FFC810" s="1"/>
      <c r="FFD810" s="1">
        <v>100302.53</v>
      </c>
      <c r="FFE810" s="41">
        <f>13095.23+544.5+254739.02</f>
        <v>268378.75</v>
      </c>
      <c r="FFF810" s="1">
        <f t="shared" si="657"/>
        <v>168076.22</v>
      </c>
      <c r="FFG810" s="1">
        <f t="shared" si="658"/>
        <v>268378.75</v>
      </c>
      <c r="FFH810" s="11">
        <v>15320</v>
      </c>
      <c r="FFI810" s="11">
        <v>60900</v>
      </c>
      <c r="FFJ810" s="42" t="s">
        <v>937</v>
      </c>
      <c r="FFK810" s="7"/>
      <c r="FFL810" s="7"/>
      <c r="FFM810" s="7"/>
      <c r="FFN810" s="7"/>
      <c r="FFO810" s="7"/>
      <c r="FFP810" s="1"/>
      <c r="FFQ810" s="1"/>
      <c r="FFR810" s="1"/>
      <c r="FFS810" s="1"/>
      <c r="FFT810" s="7"/>
      <c r="FFU810" s="1"/>
      <c r="FFV810" s="1"/>
      <c r="FFW810" s="1"/>
      <c r="FFX810" s="1"/>
      <c r="FFY810" s="1"/>
      <c r="FFZ810" s="1"/>
      <c r="FGA810" s="1"/>
      <c r="FGB810" s="1"/>
      <c r="FGC810" s="1"/>
      <c r="FGD810" s="1"/>
      <c r="FGE810" s="1"/>
      <c r="FGF810" s="41"/>
      <c r="FGG810" s="1"/>
      <c r="FGH810" s="1"/>
      <c r="FGI810" s="1"/>
      <c r="FGJ810" s="1">
        <v>100302.53</v>
      </c>
      <c r="FGK810" s="41">
        <f>13095.23+544.5+254739.02</f>
        <v>268378.75</v>
      </c>
      <c r="FGL810" s="1">
        <f t="shared" ref="FGL810:FHR810" si="659">FGK810-FGJ810</f>
        <v>168076.22</v>
      </c>
      <c r="FGM810" s="1">
        <f t="shared" ref="FGM810:FHS810" si="660">FGJ810+FGL810</f>
        <v>268378.75</v>
      </c>
      <c r="FGN810" s="11">
        <v>15320</v>
      </c>
      <c r="FGO810" s="11">
        <v>60900</v>
      </c>
      <c r="FGP810" s="42" t="s">
        <v>937</v>
      </c>
      <c r="FGQ810" s="7"/>
      <c r="FGR810" s="7"/>
      <c r="FGS810" s="7"/>
      <c r="FGT810" s="7"/>
      <c r="FGU810" s="7"/>
      <c r="FGV810" s="1"/>
      <c r="FGW810" s="1"/>
      <c r="FGX810" s="1"/>
      <c r="FGY810" s="1"/>
      <c r="FGZ810" s="7"/>
      <c r="FHA810" s="1"/>
      <c r="FHB810" s="1"/>
      <c r="FHC810" s="1"/>
      <c r="FHD810" s="1"/>
      <c r="FHE810" s="1"/>
      <c r="FHF810" s="1"/>
      <c r="FHG810" s="1"/>
      <c r="FHH810" s="1"/>
      <c r="FHI810" s="1"/>
      <c r="FHJ810" s="1"/>
      <c r="FHK810" s="1"/>
      <c r="FHL810" s="41"/>
      <c r="FHM810" s="1"/>
      <c r="FHN810" s="1"/>
      <c r="FHO810" s="1"/>
      <c r="FHP810" s="1">
        <v>100302.53</v>
      </c>
      <c r="FHQ810" s="41">
        <f>13095.23+544.5+254739.02</f>
        <v>268378.75</v>
      </c>
      <c r="FHR810" s="1">
        <f t="shared" si="659"/>
        <v>168076.22</v>
      </c>
      <c r="FHS810" s="1">
        <f t="shared" si="660"/>
        <v>268378.75</v>
      </c>
      <c r="FHT810" s="11">
        <v>15320</v>
      </c>
      <c r="FHU810" s="11">
        <v>60900</v>
      </c>
      <c r="FHV810" s="42" t="s">
        <v>937</v>
      </c>
      <c r="FHW810" s="7"/>
      <c r="FHX810" s="7"/>
      <c r="FHY810" s="7"/>
      <c r="FHZ810" s="7"/>
      <c r="FIA810" s="7"/>
      <c r="FIB810" s="1"/>
      <c r="FIC810" s="1"/>
      <c r="FID810" s="1"/>
      <c r="FIE810" s="1"/>
      <c r="FIF810" s="7"/>
      <c r="FIG810" s="1"/>
      <c r="FIH810" s="1"/>
      <c r="FII810" s="1"/>
      <c r="FIJ810" s="1"/>
      <c r="FIK810" s="1"/>
      <c r="FIL810" s="1"/>
      <c r="FIM810" s="1"/>
      <c r="FIN810" s="1"/>
      <c r="FIO810" s="1"/>
      <c r="FIP810" s="1"/>
      <c r="FIQ810" s="1"/>
      <c r="FIR810" s="41"/>
      <c r="FIS810" s="1"/>
      <c r="FIT810" s="1"/>
      <c r="FIU810" s="1"/>
      <c r="FIV810" s="1">
        <v>100302.53</v>
      </c>
      <c r="FIW810" s="41">
        <f>13095.23+544.5+254739.02</f>
        <v>268378.75</v>
      </c>
      <c r="FIX810" s="1">
        <f t="shared" ref="FIX810:FKD810" si="661">FIW810-FIV810</f>
        <v>168076.22</v>
      </c>
      <c r="FIY810" s="1">
        <f t="shared" ref="FIY810:FKE810" si="662">FIV810+FIX810</f>
        <v>268378.75</v>
      </c>
      <c r="FIZ810" s="11">
        <v>15320</v>
      </c>
      <c r="FJA810" s="11">
        <v>60900</v>
      </c>
      <c r="FJB810" s="42" t="s">
        <v>937</v>
      </c>
      <c r="FJC810" s="7"/>
      <c r="FJD810" s="7"/>
      <c r="FJE810" s="7"/>
      <c r="FJF810" s="7"/>
      <c r="FJG810" s="7"/>
      <c r="FJH810" s="1"/>
      <c r="FJI810" s="1"/>
      <c r="FJJ810" s="1"/>
      <c r="FJK810" s="1"/>
      <c r="FJL810" s="7"/>
      <c r="FJM810" s="1"/>
      <c r="FJN810" s="1"/>
      <c r="FJO810" s="1"/>
      <c r="FJP810" s="1"/>
      <c r="FJQ810" s="1"/>
      <c r="FJR810" s="1"/>
      <c r="FJS810" s="1"/>
      <c r="FJT810" s="1"/>
      <c r="FJU810" s="1"/>
      <c r="FJV810" s="1"/>
      <c r="FJW810" s="1"/>
      <c r="FJX810" s="41"/>
      <c r="FJY810" s="1"/>
      <c r="FJZ810" s="1"/>
      <c r="FKA810" s="1"/>
      <c r="FKB810" s="1">
        <v>100302.53</v>
      </c>
      <c r="FKC810" s="41">
        <f>13095.23+544.5+254739.02</f>
        <v>268378.75</v>
      </c>
      <c r="FKD810" s="1">
        <f t="shared" si="661"/>
        <v>168076.22</v>
      </c>
      <c r="FKE810" s="1">
        <f t="shared" si="662"/>
        <v>268378.75</v>
      </c>
      <c r="FKF810" s="11">
        <v>15320</v>
      </c>
      <c r="FKG810" s="11">
        <v>60900</v>
      </c>
      <c r="FKH810" s="42" t="s">
        <v>937</v>
      </c>
      <c r="FKI810" s="7"/>
      <c r="FKJ810" s="7"/>
      <c r="FKK810" s="7"/>
      <c r="FKL810" s="7"/>
      <c r="FKM810" s="7"/>
      <c r="FKN810" s="1"/>
      <c r="FKO810" s="1"/>
      <c r="FKP810" s="1"/>
      <c r="FKQ810" s="1"/>
      <c r="FKR810" s="7"/>
      <c r="FKS810" s="1"/>
      <c r="FKT810" s="1"/>
      <c r="FKU810" s="1"/>
      <c r="FKV810" s="1"/>
      <c r="FKW810" s="1"/>
      <c r="FKX810" s="1"/>
      <c r="FKY810" s="1"/>
      <c r="FKZ810" s="1"/>
      <c r="FLA810" s="1"/>
      <c r="FLB810" s="1"/>
      <c r="FLC810" s="1"/>
      <c r="FLD810" s="41"/>
      <c r="FLE810" s="1"/>
      <c r="FLF810" s="1"/>
      <c r="FLG810" s="1"/>
      <c r="FLH810" s="1">
        <v>100302.53</v>
      </c>
      <c r="FLI810" s="41">
        <f>13095.23+544.5+254739.02</f>
        <v>268378.75</v>
      </c>
      <c r="FLJ810" s="1">
        <f t="shared" ref="FLJ810:FMP810" si="663">FLI810-FLH810</f>
        <v>168076.22</v>
      </c>
      <c r="FLK810" s="1">
        <f t="shared" ref="FLK810:FMQ810" si="664">FLH810+FLJ810</f>
        <v>268378.75</v>
      </c>
      <c r="FLL810" s="11">
        <v>15320</v>
      </c>
      <c r="FLM810" s="11">
        <v>60900</v>
      </c>
      <c r="FLN810" s="42" t="s">
        <v>937</v>
      </c>
      <c r="FLO810" s="7"/>
      <c r="FLP810" s="7"/>
      <c r="FLQ810" s="7"/>
      <c r="FLR810" s="7"/>
      <c r="FLS810" s="7"/>
      <c r="FLT810" s="1"/>
      <c r="FLU810" s="1"/>
      <c r="FLV810" s="1"/>
      <c r="FLW810" s="1"/>
      <c r="FLX810" s="7"/>
      <c r="FLY810" s="1"/>
      <c r="FLZ810" s="1"/>
      <c r="FMA810" s="1"/>
      <c r="FMB810" s="1"/>
      <c r="FMC810" s="1"/>
      <c r="FMD810" s="1"/>
      <c r="FME810" s="1"/>
      <c r="FMF810" s="1"/>
      <c r="FMG810" s="1"/>
      <c r="FMH810" s="1"/>
      <c r="FMI810" s="1"/>
      <c r="FMJ810" s="41"/>
      <c r="FMK810" s="1"/>
      <c r="FML810" s="1"/>
      <c r="FMM810" s="1"/>
      <c r="FMN810" s="1">
        <v>100302.53</v>
      </c>
      <c r="FMO810" s="41">
        <f>13095.23+544.5+254739.02</f>
        <v>268378.75</v>
      </c>
      <c r="FMP810" s="1">
        <f t="shared" si="663"/>
        <v>168076.22</v>
      </c>
      <c r="FMQ810" s="1">
        <f t="shared" si="664"/>
        <v>268378.75</v>
      </c>
      <c r="FMR810" s="11">
        <v>15320</v>
      </c>
      <c r="FMS810" s="11">
        <v>60900</v>
      </c>
      <c r="FMT810" s="42" t="s">
        <v>937</v>
      </c>
      <c r="FMU810" s="7"/>
      <c r="FMV810" s="7"/>
      <c r="FMW810" s="7"/>
      <c r="FMX810" s="7"/>
      <c r="FMY810" s="7"/>
      <c r="FMZ810" s="1"/>
      <c r="FNA810" s="1"/>
      <c r="FNB810" s="1"/>
      <c r="FNC810" s="1"/>
      <c r="FND810" s="7"/>
      <c r="FNE810" s="1"/>
      <c r="FNF810" s="1"/>
      <c r="FNG810" s="1"/>
      <c r="FNH810" s="1"/>
      <c r="FNI810" s="1"/>
      <c r="FNJ810" s="1"/>
      <c r="FNK810" s="1"/>
      <c r="FNL810" s="1"/>
      <c r="FNM810" s="1"/>
      <c r="FNN810" s="1"/>
      <c r="FNO810" s="1"/>
      <c r="FNP810" s="41"/>
      <c r="FNQ810" s="1"/>
      <c r="FNR810" s="1"/>
      <c r="FNS810" s="1"/>
      <c r="FNT810" s="1">
        <v>100302.53</v>
      </c>
      <c r="FNU810" s="41">
        <f>13095.23+544.5+254739.02</f>
        <v>268378.75</v>
      </c>
      <c r="FNV810" s="1">
        <f t="shared" ref="FNV810:FPB810" si="665">FNU810-FNT810</f>
        <v>168076.22</v>
      </c>
      <c r="FNW810" s="1">
        <f t="shared" ref="FNW810:FPC810" si="666">FNT810+FNV810</f>
        <v>268378.75</v>
      </c>
      <c r="FNX810" s="11">
        <v>15320</v>
      </c>
      <c r="FNY810" s="11">
        <v>60900</v>
      </c>
      <c r="FNZ810" s="42" t="s">
        <v>937</v>
      </c>
      <c r="FOA810" s="7"/>
      <c r="FOB810" s="7"/>
      <c r="FOC810" s="7"/>
      <c r="FOD810" s="7"/>
      <c r="FOE810" s="7"/>
      <c r="FOF810" s="1"/>
      <c r="FOG810" s="1"/>
      <c r="FOH810" s="1"/>
      <c r="FOI810" s="1"/>
      <c r="FOJ810" s="7"/>
      <c r="FOK810" s="1"/>
      <c r="FOL810" s="1"/>
      <c r="FOM810" s="1"/>
      <c r="FON810" s="1"/>
      <c r="FOO810" s="1"/>
      <c r="FOP810" s="1"/>
      <c r="FOQ810" s="1"/>
      <c r="FOR810" s="1"/>
      <c r="FOS810" s="1"/>
      <c r="FOT810" s="1"/>
      <c r="FOU810" s="1"/>
      <c r="FOV810" s="41"/>
      <c r="FOW810" s="1"/>
      <c r="FOX810" s="1"/>
      <c r="FOY810" s="1"/>
      <c r="FOZ810" s="1">
        <v>100302.53</v>
      </c>
      <c r="FPA810" s="41">
        <f>13095.23+544.5+254739.02</f>
        <v>268378.75</v>
      </c>
      <c r="FPB810" s="1">
        <f t="shared" si="665"/>
        <v>168076.22</v>
      </c>
      <c r="FPC810" s="1">
        <f t="shared" si="666"/>
        <v>268378.75</v>
      </c>
      <c r="FPD810" s="11">
        <v>15320</v>
      </c>
      <c r="FPE810" s="11">
        <v>60900</v>
      </c>
      <c r="FPF810" s="42" t="s">
        <v>937</v>
      </c>
      <c r="FPG810" s="7"/>
      <c r="FPH810" s="7"/>
      <c r="FPI810" s="7"/>
      <c r="FPJ810" s="7"/>
      <c r="FPK810" s="7"/>
      <c r="FPL810" s="1"/>
      <c r="FPM810" s="1"/>
      <c r="FPN810" s="1"/>
      <c r="FPO810" s="1"/>
      <c r="FPP810" s="7"/>
      <c r="FPQ810" s="1"/>
      <c r="FPR810" s="1"/>
      <c r="FPS810" s="1"/>
      <c r="FPT810" s="1"/>
      <c r="FPU810" s="1"/>
      <c r="FPV810" s="1"/>
      <c r="FPW810" s="1"/>
      <c r="FPX810" s="1"/>
      <c r="FPY810" s="1"/>
      <c r="FPZ810" s="1"/>
      <c r="FQA810" s="1"/>
      <c r="FQB810" s="41"/>
      <c r="FQC810" s="1"/>
      <c r="FQD810" s="1"/>
      <c r="FQE810" s="1"/>
      <c r="FQF810" s="1">
        <v>100302.53</v>
      </c>
      <c r="FQG810" s="41">
        <f>13095.23+544.5+254739.02</f>
        <v>268378.75</v>
      </c>
      <c r="FQH810" s="1">
        <f t="shared" ref="FQH810:FRN810" si="667">FQG810-FQF810</f>
        <v>168076.22</v>
      </c>
      <c r="FQI810" s="1">
        <f t="shared" ref="FQI810:FRO810" si="668">FQF810+FQH810</f>
        <v>268378.75</v>
      </c>
      <c r="FQJ810" s="11">
        <v>15320</v>
      </c>
      <c r="FQK810" s="11">
        <v>60900</v>
      </c>
      <c r="FQL810" s="42" t="s">
        <v>937</v>
      </c>
      <c r="FQM810" s="7"/>
      <c r="FQN810" s="7"/>
      <c r="FQO810" s="7"/>
      <c r="FQP810" s="7"/>
      <c r="FQQ810" s="7"/>
      <c r="FQR810" s="1"/>
      <c r="FQS810" s="1"/>
      <c r="FQT810" s="1"/>
      <c r="FQU810" s="1"/>
      <c r="FQV810" s="7"/>
      <c r="FQW810" s="1"/>
      <c r="FQX810" s="1"/>
      <c r="FQY810" s="1"/>
      <c r="FQZ810" s="1"/>
      <c r="FRA810" s="1"/>
      <c r="FRB810" s="1"/>
      <c r="FRC810" s="1"/>
      <c r="FRD810" s="1"/>
      <c r="FRE810" s="1"/>
      <c r="FRF810" s="1"/>
      <c r="FRG810" s="1"/>
      <c r="FRH810" s="41"/>
      <c r="FRI810" s="1"/>
      <c r="FRJ810" s="1"/>
      <c r="FRK810" s="1"/>
      <c r="FRL810" s="1">
        <v>100302.53</v>
      </c>
      <c r="FRM810" s="41">
        <f>13095.23+544.5+254739.02</f>
        <v>268378.75</v>
      </c>
      <c r="FRN810" s="1">
        <f t="shared" si="667"/>
        <v>168076.22</v>
      </c>
      <c r="FRO810" s="1">
        <f t="shared" si="668"/>
        <v>268378.75</v>
      </c>
      <c r="FRP810" s="11">
        <v>15320</v>
      </c>
      <c r="FRQ810" s="11">
        <v>60900</v>
      </c>
      <c r="FRR810" s="42" t="s">
        <v>937</v>
      </c>
      <c r="FRS810" s="7"/>
      <c r="FRT810" s="7"/>
      <c r="FRU810" s="7"/>
      <c r="FRV810" s="7"/>
      <c r="FRW810" s="7"/>
      <c r="FRX810" s="1"/>
      <c r="FRY810" s="1"/>
      <c r="FRZ810" s="1"/>
      <c r="FSA810" s="1"/>
      <c r="FSB810" s="7"/>
      <c r="FSC810" s="1"/>
      <c r="FSD810" s="1"/>
      <c r="FSE810" s="1"/>
      <c r="FSF810" s="1"/>
      <c r="FSG810" s="1"/>
      <c r="FSH810" s="1"/>
      <c r="FSI810" s="1"/>
      <c r="FSJ810" s="1"/>
      <c r="FSK810" s="1"/>
      <c r="FSL810" s="1"/>
      <c r="FSM810" s="1"/>
      <c r="FSN810" s="41"/>
      <c r="FSO810" s="1"/>
      <c r="FSP810" s="1"/>
      <c r="FSQ810" s="1"/>
      <c r="FSR810" s="1">
        <v>100302.53</v>
      </c>
      <c r="FSS810" s="41">
        <f>13095.23+544.5+254739.02</f>
        <v>268378.75</v>
      </c>
      <c r="FST810" s="1">
        <f t="shared" ref="FST810:FTZ810" si="669">FSS810-FSR810</f>
        <v>168076.22</v>
      </c>
      <c r="FSU810" s="1">
        <f t="shared" ref="FSU810:FUA810" si="670">FSR810+FST810</f>
        <v>268378.75</v>
      </c>
      <c r="FSV810" s="11">
        <v>15320</v>
      </c>
      <c r="FSW810" s="11">
        <v>60900</v>
      </c>
      <c r="FSX810" s="42" t="s">
        <v>937</v>
      </c>
      <c r="FSY810" s="7"/>
      <c r="FSZ810" s="7"/>
      <c r="FTA810" s="7"/>
      <c r="FTB810" s="7"/>
      <c r="FTC810" s="7"/>
      <c r="FTD810" s="1"/>
      <c r="FTE810" s="1"/>
      <c r="FTF810" s="1"/>
      <c r="FTG810" s="1"/>
      <c r="FTH810" s="7"/>
      <c r="FTI810" s="1"/>
      <c r="FTJ810" s="1"/>
      <c r="FTK810" s="1"/>
      <c r="FTL810" s="1"/>
      <c r="FTM810" s="1"/>
      <c r="FTN810" s="1"/>
      <c r="FTO810" s="1"/>
      <c r="FTP810" s="1"/>
      <c r="FTQ810" s="1"/>
      <c r="FTR810" s="1"/>
      <c r="FTS810" s="1"/>
      <c r="FTT810" s="41"/>
      <c r="FTU810" s="1"/>
      <c r="FTV810" s="1"/>
      <c r="FTW810" s="1"/>
      <c r="FTX810" s="1">
        <v>100302.53</v>
      </c>
      <c r="FTY810" s="41">
        <f>13095.23+544.5+254739.02</f>
        <v>268378.75</v>
      </c>
      <c r="FTZ810" s="1">
        <f t="shared" si="669"/>
        <v>168076.22</v>
      </c>
      <c r="FUA810" s="1">
        <f t="shared" si="670"/>
        <v>268378.75</v>
      </c>
      <c r="FUB810" s="11">
        <v>15320</v>
      </c>
      <c r="FUC810" s="11">
        <v>60900</v>
      </c>
      <c r="FUD810" s="42" t="s">
        <v>937</v>
      </c>
      <c r="FUE810" s="7"/>
      <c r="FUF810" s="7"/>
      <c r="FUG810" s="7"/>
      <c r="FUH810" s="7"/>
      <c r="FUI810" s="7"/>
      <c r="FUJ810" s="1"/>
      <c r="FUK810" s="1"/>
      <c r="FUL810" s="1"/>
      <c r="FUM810" s="1"/>
      <c r="FUN810" s="7"/>
      <c r="FUO810" s="1"/>
      <c r="FUP810" s="1"/>
      <c r="FUQ810" s="1"/>
      <c r="FUR810" s="1"/>
      <c r="FUS810" s="1"/>
      <c r="FUT810" s="1"/>
      <c r="FUU810" s="1"/>
      <c r="FUV810" s="1"/>
      <c r="FUW810" s="1"/>
      <c r="FUX810" s="1"/>
      <c r="FUY810" s="1"/>
      <c r="FUZ810" s="41"/>
      <c r="FVA810" s="1"/>
      <c r="FVB810" s="1"/>
      <c r="FVC810" s="1"/>
      <c r="FVD810" s="1">
        <v>100302.53</v>
      </c>
      <c r="FVE810" s="41">
        <f>13095.23+544.5+254739.02</f>
        <v>268378.75</v>
      </c>
      <c r="FVF810" s="1">
        <f t="shared" ref="FVF810:FWL810" si="671">FVE810-FVD810</f>
        <v>168076.22</v>
      </c>
      <c r="FVG810" s="1">
        <f t="shared" ref="FVG810:FWM810" si="672">FVD810+FVF810</f>
        <v>268378.75</v>
      </c>
      <c r="FVH810" s="11">
        <v>15320</v>
      </c>
      <c r="FVI810" s="11">
        <v>60900</v>
      </c>
      <c r="FVJ810" s="42" t="s">
        <v>937</v>
      </c>
      <c r="FVK810" s="7"/>
      <c r="FVL810" s="7"/>
      <c r="FVM810" s="7"/>
      <c r="FVN810" s="7"/>
      <c r="FVO810" s="7"/>
      <c r="FVP810" s="1"/>
      <c r="FVQ810" s="1"/>
      <c r="FVR810" s="1"/>
      <c r="FVS810" s="1"/>
      <c r="FVT810" s="7"/>
      <c r="FVU810" s="1"/>
      <c r="FVV810" s="1"/>
      <c r="FVW810" s="1"/>
      <c r="FVX810" s="1"/>
      <c r="FVY810" s="1"/>
      <c r="FVZ810" s="1"/>
      <c r="FWA810" s="1"/>
      <c r="FWB810" s="1"/>
      <c r="FWC810" s="1"/>
      <c r="FWD810" s="1"/>
      <c r="FWE810" s="1"/>
      <c r="FWF810" s="41"/>
      <c r="FWG810" s="1"/>
      <c r="FWH810" s="1"/>
      <c r="FWI810" s="1"/>
      <c r="FWJ810" s="1">
        <v>100302.53</v>
      </c>
      <c r="FWK810" s="41">
        <f>13095.23+544.5+254739.02</f>
        <v>268378.75</v>
      </c>
      <c r="FWL810" s="1">
        <f t="shared" si="671"/>
        <v>168076.22</v>
      </c>
      <c r="FWM810" s="1">
        <f t="shared" si="672"/>
        <v>268378.75</v>
      </c>
      <c r="FWN810" s="11">
        <v>15320</v>
      </c>
      <c r="FWO810" s="11">
        <v>60900</v>
      </c>
      <c r="FWP810" s="42" t="s">
        <v>937</v>
      </c>
      <c r="FWQ810" s="7"/>
      <c r="FWR810" s="7"/>
      <c r="FWS810" s="7"/>
      <c r="FWT810" s="7"/>
      <c r="FWU810" s="7"/>
      <c r="FWV810" s="1"/>
      <c r="FWW810" s="1"/>
      <c r="FWX810" s="1"/>
      <c r="FWY810" s="1"/>
      <c r="FWZ810" s="7"/>
      <c r="FXA810" s="1"/>
      <c r="FXB810" s="1"/>
      <c r="FXC810" s="1"/>
      <c r="FXD810" s="1"/>
      <c r="FXE810" s="1"/>
      <c r="FXF810" s="1"/>
      <c r="FXG810" s="1"/>
      <c r="FXH810" s="1"/>
      <c r="FXI810" s="1"/>
      <c r="FXJ810" s="1"/>
      <c r="FXK810" s="1"/>
      <c r="FXL810" s="41"/>
      <c r="FXM810" s="1"/>
      <c r="FXN810" s="1"/>
      <c r="FXO810" s="1"/>
      <c r="FXP810" s="1">
        <v>100302.53</v>
      </c>
      <c r="FXQ810" s="41">
        <f>13095.23+544.5+254739.02</f>
        <v>268378.75</v>
      </c>
      <c r="FXR810" s="1">
        <f t="shared" ref="FXR810:FYX810" si="673">FXQ810-FXP810</f>
        <v>168076.22</v>
      </c>
      <c r="FXS810" s="1">
        <f t="shared" ref="FXS810:FYY810" si="674">FXP810+FXR810</f>
        <v>268378.75</v>
      </c>
      <c r="FXT810" s="11">
        <v>15320</v>
      </c>
      <c r="FXU810" s="11">
        <v>60900</v>
      </c>
      <c r="FXV810" s="42" t="s">
        <v>937</v>
      </c>
      <c r="FXW810" s="7"/>
      <c r="FXX810" s="7"/>
      <c r="FXY810" s="7"/>
      <c r="FXZ810" s="7"/>
      <c r="FYA810" s="7"/>
      <c r="FYB810" s="1"/>
      <c r="FYC810" s="1"/>
      <c r="FYD810" s="1"/>
      <c r="FYE810" s="1"/>
      <c r="FYF810" s="7"/>
      <c r="FYG810" s="1"/>
      <c r="FYH810" s="1"/>
      <c r="FYI810" s="1"/>
      <c r="FYJ810" s="1"/>
      <c r="FYK810" s="1"/>
      <c r="FYL810" s="1"/>
      <c r="FYM810" s="1"/>
      <c r="FYN810" s="1"/>
      <c r="FYO810" s="1"/>
      <c r="FYP810" s="1"/>
      <c r="FYQ810" s="1"/>
      <c r="FYR810" s="41"/>
      <c r="FYS810" s="1"/>
      <c r="FYT810" s="1"/>
      <c r="FYU810" s="1"/>
      <c r="FYV810" s="1">
        <v>100302.53</v>
      </c>
      <c r="FYW810" s="41">
        <f>13095.23+544.5+254739.02</f>
        <v>268378.75</v>
      </c>
      <c r="FYX810" s="1">
        <f t="shared" si="673"/>
        <v>168076.22</v>
      </c>
      <c r="FYY810" s="1">
        <f t="shared" si="674"/>
        <v>268378.75</v>
      </c>
      <c r="FYZ810" s="11">
        <v>15320</v>
      </c>
      <c r="FZA810" s="11">
        <v>60900</v>
      </c>
      <c r="FZB810" s="42" t="s">
        <v>937</v>
      </c>
      <c r="FZC810" s="7"/>
      <c r="FZD810" s="7"/>
      <c r="FZE810" s="7"/>
      <c r="FZF810" s="7"/>
      <c r="FZG810" s="7"/>
      <c r="FZH810" s="1"/>
      <c r="FZI810" s="1"/>
      <c r="FZJ810" s="1"/>
      <c r="FZK810" s="1"/>
      <c r="FZL810" s="7"/>
      <c r="FZM810" s="1"/>
      <c r="FZN810" s="1"/>
      <c r="FZO810" s="1"/>
      <c r="FZP810" s="1"/>
      <c r="FZQ810" s="1"/>
      <c r="FZR810" s="1"/>
      <c r="FZS810" s="1"/>
      <c r="FZT810" s="1"/>
      <c r="FZU810" s="1"/>
      <c r="FZV810" s="1"/>
      <c r="FZW810" s="1"/>
      <c r="FZX810" s="41"/>
      <c r="FZY810" s="1"/>
      <c r="FZZ810" s="1"/>
      <c r="GAA810" s="1"/>
      <c r="GAB810" s="1">
        <v>100302.53</v>
      </c>
      <c r="GAC810" s="41">
        <f>13095.23+544.5+254739.02</f>
        <v>268378.75</v>
      </c>
      <c r="GAD810" s="1">
        <f t="shared" ref="GAD810:GBJ810" si="675">GAC810-GAB810</f>
        <v>168076.22</v>
      </c>
      <c r="GAE810" s="1">
        <f t="shared" ref="GAE810:GBK810" si="676">GAB810+GAD810</f>
        <v>268378.75</v>
      </c>
      <c r="GAF810" s="11">
        <v>15320</v>
      </c>
      <c r="GAG810" s="11">
        <v>60900</v>
      </c>
      <c r="GAH810" s="42" t="s">
        <v>937</v>
      </c>
      <c r="GAI810" s="7"/>
      <c r="GAJ810" s="7"/>
      <c r="GAK810" s="7"/>
      <c r="GAL810" s="7"/>
      <c r="GAM810" s="7"/>
      <c r="GAN810" s="1"/>
      <c r="GAO810" s="1"/>
      <c r="GAP810" s="1"/>
      <c r="GAQ810" s="1"/>
      <c r="GAR810" s="7"/>
      <c r="GAS810" s="1"/>
      <c r="GAT810" s="1"/>
      <c r="GAU810" s="1"/>
      <c r="GAV810" s="1"/>
      <c r="GAW810" s="1"/>
      <c r="GAX810" s="1"/>
      <c r="GAY810" s="1"/>
      <c r="GAZ810" s="1"/>
      <c r="GBA810" s="1"/>
      <c r="GBB810" s="1"/>
      <c r="GBC810" s="1"/>
      <c r="GBD810" s="41"/>
      <c r="GBE810" s="1"/>
      <c r="GBF810" s="1"/>
      <c r="GBG810" s="1"/>
      <c r="GBH810" s="1">
        <v>100302.53</v>
      </c>
      <c r="GBI810" s="41">
        <f>13095.23+544.5+254739.02</f>
        <v>268378.75</v>
      </c>
      <c r="GBJ810" s="1">
        <f t="shared" si="675"/>
        <v>168076.22</v>
      </c>
      <c r="GBK810" s="1">
        <f t="shared" si="676"/>
        <v>268378.75</v>
      </c>
      <c r="GBL810" s="11">
        <v>15320</v>
      </c>
      <c r="GBM810" s="11">
        <v>60900</v>
      </c>
      <c r="GBN810" s="42" t="s">
        <v>937</v>
      </c>
      <c r="GBO810" s="7"/>
      <c r="GBP810" s="7"/>
      <c r="GBQ810" s="7"/>
      <c r="GBR810" s="7"/>
      <c r="GBS810" s="7"/>
      <c r="GBT810" s="1"/>
      <c r="GBU810" s="1"/>
      <c r="GBV810" s="1"/>
      <c r="GBW810" s="1"/>
      <c r="GBX810" s="7"/>
      <c r="GBY810" s="1"/>
      <c r="GBZ810" s="1"/>
      <c r="GCA810" s="1"/>
      <c r="GCB810" s="1"/>
      <c r="GCC810" s="1"/>
      <c r="GCD810" s="1"/>
      <c r="GCE810" s="1"/>
      <c r="GCF810" s="1"/>
      <c r="GCG810" s="1"/>
      <c r="GCH810" s="1"/>
      <c r="GCI810" s="1"/>
      <c r="GCJ810" s="41"/>
      <c r="GCK810" s="1"/>
      <c r="GCL810" s="1"/>
      <c r="GCM810" s="1"/>
      <c r="GCN810" s="1">
        <v>100302.53</v>
      </c>
      <c r="GCO810" s="41">
        <f>13095.23+544.5+254739.02</f>
        <v>268378.75</v>
      </c>
      <c r="GCP810" s="1">
        <f t="shared" ref="GCP810:GDV810" si="677">GCO810-GCN810</f>
        <v>168076.22</v>
      </c>
      <c r="GCQ810" s="1">
        <f t="shared" ref="GCQ810:GDW810" si="678">GCN810+GCP810</f>
        <v>268378.75</v>
      </c>
      <c r="GCR810" s="11">
        <v>15320</v>
      </c>
      <c r="GCS810" s="11">
        <v>60900</v>
      </c>
      <c r="GCT810" s="42" t="s">
        <v>937</v>
      </c>
      <c r="GCU810" s="7"/>
      <c r="GCV810" s="7"/>
      <c r="GCW810" s="7"/>
      <c r="GCX810" s="7"/>
      <c r="GCY810" s="7"/>
      <c r="GCZ810" s="1"/>
      <c r="GDA810" s="1"/>
      <c r="GDB810" s="1"/>
      <c r="GDC810" s="1"/>
      <c r="GDD810" s="7"/>
      <c r="GDE810" s="1"/>
      <c r="GDF810" s="1"/>
      <c r="GDG810" s="1"/>
      <c r="GDH810" s="1"/>
      <c r="GDI810" s="1"/>
      <c r="GDJ810" s="1"/>
      <c r="GDK810" s="1"/>
      <c r="GDL810" s="1"/>
      <c r="GDM810" s="1"/>
      <c r="GDN810" s="1"/>
      <c r="GDO810" s="1"/>
      <c r="GDP810" s="41"/>
      <c r="GDQ810" s="1"/>
      <c r="GDR810" s="1"/>
      <c r="GDS810" s="1"/>
      <c r="GDT810" s="1">
        <v>100302.53</v>
      </c>
      <c r="GDU810" s="41">
        <f>13095.23+544.5+254739.02</f>
        <v>268378.75</v>
      </c>
      <c r="GDV810" s="1">
        <f t="shared" si="677"/>
        <v>168076.22</v>
      </c>
      <c r="GDW810" s="1">
        <f t="shared" si="678"/>
        <v>268378.75</v>
      </c>
      <c r="GDX810" s="11">
        <v>15320</v>
      </c>
      <c r="GDY810" s="11">
        <v>60900</v>
      </c>
      <c r="GDZ810" s="42" t="s">
        <v>937</v>
      </c>
      <c r="GEA810" s="7"/>
      <c r="GEB810" s="7"/>
      <c r="GEC810" s="7"/>
      <c r="GED810" s="7"/>
      <c r="GEE810" s="7"/>
      <c r="GEF810" s="1"/>
      <c r="GEG810" s="1"/>
      <c r="GEH810" s="1"/>
      <c r="GEI810" s="1"/>
      <c r="GEJ810" s="7"/>
      <c r="GEK810" s="1"/>
      <c r="GEL810" s="1"/>
      <c r="GEM810" s="1"/>
      <c r="GEN810" s="1"/>
      <c r="GEO810" s="1"/>
      <c r="GEP810" s="1"/>
      <c r="GEQ810" s="1"/>
      <c r="GER810" s="1"/>
      <c r="GES810" s="1"/>
      <c r="GET810" s="1"/>
      <c r="GEU810" s="1"/>
      <c r="GEV810" s="41"/>
      <c r="GEW810" s="1"/>
      <c r="GEX810" s="1"/>
      <c r="GEY810" s="1"/>
      <c r="GEZ810" s="1">
        <v>100302.53</v>
      </c>
      <c r="GFA810" s="41">
        <f>13095.23+544.5+254739.02</f>
        <v>268378.75</v>
      </c>
      <c r="GFB810" s="1">
        <f t="shared" ref="GFB810:GGH810" si="679">GFA810-GEZ810</f>
        <v>168076.22</v>
      </c>
      <c r="GFC810" s="1">
        <f t="shared" ref="GFC810:GGI810" si="680">GEZ810+GFB810</f>
        <v>268378.75</v>
      </c>
      <c r="GFD810" s="11">
        <v>15320</v>
      </c>
      <c r="GFE810" s="11">
        <v>60900</v>
      </c>
      <c r="GFF810" s="42" t="s">
        <v>937</v>
      </c>
      <c r="GFG810" s="7"/>
      <c r="GFH810" s="7"/>
      <c r="GFI810" s="7"/>
      <c r="GFJ810" s="7"/>
      <c r="GFK810" s="7"/>
      <c r="GFL810" s="1"/>
      <c r="GFM810" s="1"/>
      <c r="GFN810" s="1"/>
      <c r="GFO810" s="1"/>
      <c r="GFP810" s="7"/>
      <c r="GFQ810" s="1"/>
      <c r="GFR810" s="1"/>
      <c r="GFS810" s="1"/>
      <c r="GFT810" s="1"/>
      <c r="GFU810" s="1"/>
      <c r="GFV810" s="1"/>
      <c r="GFW810" s="1"/>
      <c r="GFX810" s="1"/>
      <c r="GFY810" s="1"/>
      <c r="GFZ810" s="1"/>
      <c r="GGA810" s="1"/>
      <c r="GGB810" s="41"/>
      <c r="GGC810" s="1"/>
      <c r="GGD810" s="1"/>
      <c r="GGE810" s="1"/>
      <c r="GGF810" s="1">
        <v>100302.53</v>
      </c>
      <c r="GGG810" s="41">
        <f>13095.23+544.5+254739.02</f>
        <v>268378.75</v>
      </c>
      <c r="GGH810" s="1">
        <f t="shared" si="679"/>
        <v>168076.22</v>
      </c>
      <c r="GGI810" s="1">
        <f t="shared" si="680"/>
        <v>268378.75</v>
      </c>
      <c r="GGJ810" s="11">
        <v>15320</v>
      </c>
      <c r="GGK810" s="11">
        <v>60900</v>
      </c>
      <c r="GGL810" s="42" t="s">
        <v>937</v>
      </c>
      <c r="GGM810" s="7"/>
      <c r="GGN810" s="7"/>
      <c r="GGO810" s="7"/>
      <c r="GGP810" s="7"/>
      <c r="GGQ810" s="7"/>
      <c r="GGR810" s="1"/>
      <c r="GGS810" s="1"/>
      <c r="GGT810" s="1"/>
      <c r="GGU810" s="1"/>
      <c r="GGV810" s="7"/>
      <c r="GGW810" s="1"/>
      <c r="GGX810" s="1"/>
      <c r="GGY810" s="1"/>
      <c r="GGZ810" s="1"/>
      <c r="GHA810" s="1"/>
      <c r="GHB810" s="1"/>
      <c r="GHC810" s="1"/>
      <c r="GHD810" s="1"/>
      <c r="GHE810" s="1"/>
      <c r="GHF810" s="1"/>
      <c r="GHG810" s="1"/>
      <c r="GHH810" s="41"/>
      <c r="GHI810" s="1"/>
      <c r="GHJ810" s="1"/>
      <c r="GHK810" s="1"/>
      <c r="GHL810" s="1">
        <v>100302.53</v>
      </c>
      <c r="GHM810" s="41">
        <f>13095.23+544.5+254739.02</f>
        <v>268378.75</v>
      </c>
      <c r="GHN810" s="1">
        <f t="shared" ref="GHN810:GIT810" si="681">GHM810-GHL810</f>
        <v>168076.22</v>
      </c>
      <c r="GHO810" s="1">
        <f t="shared" ref="GHO810:GIU810" si="682">GHL810+GHN810</f>
        <v>268378.75</v>
      </c>
      <c r="GHP810" s="11">
        <v>15320</v>
      </c>
      <c r="GHQ810" s="11">
        <v>60900</v>
      </c>
      <c r="GHR810" s="42" t="s">
        <v>937</v>
      </c>
      <c r="GHS810" s="7"/>
      <c r="GHT810" s="7"/>
      <c r="GHU810" s="7"/>
      <c r="GHV810" s="7"/>
      <c r="GHW810" s="7"/>
      <c r="GHX810" s="1"/>
      <c r="GHY810" s="1"/>
      <c r="GHZ810" s="1"/>
      <c r="GIA810" s="1"/>
      <c r="GIB810" s="7"/>
      <c r="GIC810" s="1"/>
      <c r="GID810" s="1"/>
      <c r="GIE810" s="1"/>
      <c r="GIF810" s="1"/>
      <c r="GIG810" s="1"/>
      <c r="GIH810" s="1"/>
      <c r="GII810" s="1"/>
      <c r="GIJ810" s="1"/>
      <c r="GIK810" s="1"/>
      <c r="GIL810" s="1"/>
      <c r="GIM810" s="1"/>
      <c r="GIN810" s="41"/>
      <c r="GIO810" s="1"/>
      <c r="GIP810" s="1"/>
      <c r="GIQ810" s="1"/>
      <c r="GIR810" s="1">
        <v>100302.53</v>
      </c>
      <c r="GIS810" s="41">
        <f>13095.23+544.5+254739.02</f>
        <v>268378.75</v>
      </c>
      <c r="GIT810" s="1">
        <f t="shared" si="681"/>
        <v>168076.22</v>
      </c>
      <c r="GIU810" s="1">
        <f t="shared" si="682"/>
        <v>268378.75</v>
      </c>
      <c r="GIV810" s="11">
        <v>15320</v>
      </c>
      <c r="GIW810" s="11">
        <v>60900</v>
      </c>
      <c r="GIX810" s="42" t="s">
        <v>937</v>
      </c>
      <c r="GIY810" s="7"/>
      <c r="GIZ810" s="7"/>
      <c r="GJA810" s="7"/>
      <c r="GJB810" s="7"/>
      <c r="GJC810" s="7"/>
      <c r="GJD810" s="1"/>
      <c r="GJE810" s="1"/>
      <c r="GJF810" s="1"/>
      <c r="GJG810" s="1"/>
      <c r="GJH810" s="7"/>
      <c r="GJI810" s="1"/>
      <c r="GJJ810" s="1"/>
      <c r="GJK810" s="1"/>
      <c r="GJL810" s="1"/>
      <c r="GJM810" s="1"/>
      <c r="GJN810" s="1"/>
      <c r="GJO810" s="1"/>
      <c r="GJP810" s="1"/>
      <c r="GJQ810" s="1"/>
      <c r="GJR810" s="1"/>
      <c r="GJS810" s="1"/>
      <c r="GJT810" s="41"/>
      <c r="GJU810" s="1"/>
      <c r="GJV810" s="1"/>
      <c r="GJW810" s="1"/>
      <c r="GJX810" s="1">
        <v>100302.53</v>
      </c>
      <c r="GJY810" s="41">
        <f>13095.23+544.5+254739.02</f>
        <v>268378.75</v>
      </c>
      <c r="GJZ810" s="1">
        <f t="shared" ref="GJZ810:GLF810" si="683">GJY810-GJX810</f>
        <v>168076.22</v>
      </c>
      <c r="GKA810" s="1">
        <f t="shared" ref="GKA810:GLG810" si="684">GJX810+GJZ810</f>
        <v>268378.75</v>
      </c>
      <c r="GKB810" s="11">
        <v>15320</v>
      </c>
      <c r="GKC810" s="11">
        <v>60900</v>
      </c>
      <c r="GKD810" s="42" t="s">
        <v>937</v>
      </c>
      <c r="GKE810" s="7"/>
      <c r="GKF810" s="7"/>
      <c r="GKG810" s="7"/>
      <c r="GKH810" s="7"/>
      <c r="GKI810" s="7"/>
      <c r="GKJ810" s="1"/>
      <c r="GKK810" s="1"/>
      <c r="GKL810" s="1"/>
      <c r="GKM810" s="1"/>
      <c r="GKN810" s="7"/>
      <c r="GKO810" s="1"/>
      <c r="GKP810" s="1"/>
      <c r="GKQ810" s="1"/>
      <c r="GKR810" s="1"/>
      <c r="GKS810" s="1"/>
      <c r="GKT810" s="1"/>
      <c r="GKU810" s="1"/>
      <c r="GKV810" s="1"/>
      <c r="GKW810" s="1"/>
      <c r="GKX810" s="1"/>
      <c r="GKY810" s="1"/>
      <c r="GKZ810" s="41"/>
      <c r="GLA810" s="1"/>
      <c r="GLB810" s="1"/>
      <c r="GLC810" s="1"/>
      <c r="GLD810" s="1">
        <v>100302.53</v>
      </c>
      <c r="GLE810" s="41">
        <f>13095.23+544.5+254739.02</f>
        <v>268378.75</v>
      </c>
      <c r="GLF810" s="1">
        <f t="shared" si="683"/>
        <v>168076.22</v>
      </c>
      <c r="GLG810" s="1">
        <f t="shared" si="684"/>
        <v>268378.75</v>
      </c>
      <c r="GLH810" s="11">
        <v>15320</v>
      </c>
      <c r="GLI810" s="11">
        <v>60900</v>
      </c>
      <c r="GLJ810" s="42" t="s">
        <v>937</v>
      </c>
      <c r="GLK810" s="7"/>
      <c r="GLL810" s="7"/>
      <c r="GLM810" s="7"/>
      <c r="GLN810" s="7"/>
      <c r="GLO810" s="7"/>
      <c r="GLP810" s="1"/>
      <c r="GLQ810" s="1"/>
      <c r="GLR810" s="1"/>
      <c r="GLS810" s="1"/>
      <c r="GLT810" s="7"/>
      <c r="GLU810" s="1"/>
      <c r="GLV810" s="1"/>
      <c r="GLW810" s="1"/>
      <c r="GLX810" s="1"/>
      <c r="GLY810" s="1"/>
      <c r="GLZ810" s="1"/>
      <c r="GMA810" s="1"/>
      <c r="GMB810" s="1"/>
      <c r="GMC810" s="1"/>
      <c r="GMD810" s="1"/>
      <c r="GME810" s="1"/>
      <c r="GMF810" s="41"/>
      <c r="GMG810" s="1"/>
      <c r="GMH810" s="1"/>
      <c r="GMI810" s="1"/>
      <c r="GMJ810" s="1">
        <v>100302.53</v>
      </c>
      <c r="GMK810" s="41">
        <f>13095.23+544.5+254739.02</f>
        <v>268378.75</v>
      </c>
      <c r="GML810" s="1">
        <f t="shared" ref="GML810:GNR810" si="685">GMK810-GMJ810</f>
        <v>168076.22</v>
      </c>
      <c r="GMM810" s="1">
        <f t="shared" ref="GMM810:GNS810" si="686">GMJ810+GML810</f>
        <v>268378.75</v>
      </c>
      <c r="GMN810" s="11">
        <v>15320</v>
      </c>
      <c r="GMO810" s="11">
        <v>60900</v>
      </c>
      <c r="GMP810" s="42" t="s">
        <v>937</v>
      </c>
      <c r="GMQ810" s="7"/>
      <c r="GMR810" s="7"/>
      <c r="GMS810" s="7"/>
      <c r="GMT810" s="7"/>
      <c r="GMU810" s="7"/>
      <c r="GMV810" s="1"/>
      <c r="GMW810" s="1"/>
      <c r="GMX810" s="1"/>
      <c r="GMY810" s="1"/>
      <c r="GMZ810" s="7"/>
      <c r="GNA810" s="1"/>
      <c r="GNB810" s="1"/>
      <c r="GNC810" s="1"/>
      <c r="GND810" s="1"/>
      <c r="GNE810" s="1"/>
      <c r="GNF810" s="1"/>
      <c r="GNG810" s="1"/>
      <c r="GNH810" s="1"/>
      <c r="GNI810" s="1"/>
      <c r="GNJ810" s="1"/>
      <c r="GNK810" s="1"/>
      <c r="GNL810" s="41"/>
      <c r="GNM810" s="1"/>
      <c r="GNN810" s="1"/>
      <c r="GNO810" s="1"/>
      <c r="GNP810" s="1">
        <v>100302.53</v>
      </c>
      <c r="GNQ810" s="41">
        <f>13095.23+544.5+254739.02</f>
        <v>268378.75</v>
      </c>
      <c r="GNR810" s="1">
        <f t="shared" si="685"/>
        <v>168076.22</v>
      </c>
      <c r="GNS810" s="1">
        <f t="shared" si="686"/>
        <v>268378.75</v>
      </c>
      <c r="GNT810" s="11">
        <v>15320</v>
      </c>
      <c r="GNU810" s="11">
        <v>60900</v>
      </c>
      <c r="GNV810" s="42" t="s">
        <v>937</v>
      </c>
      <c r="GNW810" s="7"/>
      <c r="GNX810" s="7"/>
      <c r="GNY810" s="7"/>
      <c r="GNZ810" s="7"/>
      <c r="GOA810" s="7"/>
      <c r="GOB810" s="1"/>
      <c r="GOC810" s="1"/>
      <c r="GOD810" s="1"/>
      <c r="GOE810" s="1"/>
      <c r="GOF810" s="7"/>
      <c r="GOG810" s="1"/>
      <c r="GOH810" s="1"/>
      <c r="GOI810" s="1"/>
      <c r="GOJ810" s="1"/>
      <c r="GOK810" s="1"/>
      <c r="GOL810" s="1"/>
      <c r="GOM810" s="1"/>
      <c r="GON810" s="1"/>
      <c r="GOO810" s="1"/>
      <c r="GOP810" s="1"/>
      <c r="GOQ810" s="1"/>
      <c r="GOR810" s="41"/>
      <c r="GOS810" s="1"/>
      <c r="GOT810" s="1"/>
      <c r="GOU810" s="1"/>
      <c r="GOV810" s="1">
        <v>100302.53</v>
      </c>
      <c r="GOW810" s="41">
        <f>13095.23+544.5+254739.02</f>
        <v>268378.75</v>
      </c>
      <c r="GOX810" s="1">
        <f t="shared" ref="GOX810:GQD810" si="687">GOW810-GOV810</f>
        <v>168076.22</v>
      </c>
      <c r="GOY810" s="1">
        <f t="shared" ref="GOY810:GQE810" si="688">GOV810+GOX810</f>
        <v>268378.75</v>
      </c>
      <c r="GOZ810" s="11">
        <v>15320</v>
      </c>
      <c r="GPA810" s="11">
        <v>60900</v>
      </c>
      <c r="GPB810" s="42" t="s">
        <v>937</v>
      </c>
      <c r="GPC810" s="7"/>
      <c r="GPD810" s="7"/>
      <c r="GPE810" s="7"/>
      <c r="GPF810" s="7"/>
      <c r="GPG810" s="7"/>
      <c r="GPH810" s="1"/>
      <c r="GPI810" s="1"/>
      <c r="GPJ810" s="1"/>
      <c r="GPK810" s="1"/>
      <c r="GPL810" s="7"/>
      <c r="GPM810" s="1"/>
      <c r="GPN810" s="1"/>
      <c r="GPO810" s="1"/>
      <c r="GPP810" s="1"/>
      <c r="GPQ810" s="1"/>
      <c r="GPR810" s="1"/>
      <c r="GPS810" s="1"/>
      <c r="GPT810" s="1"/>
      <c r="GPU810" s="1"/>
      <c r="GPV810" s="1"/>
      <c r="GPW810" s="1"/>
      <c r="GPX810" s="41"/>
      <c r="GPY810" s="1"/>
      <c r="GPZ810" s="1"/>
      <c r="GQA810" s="1"/>
      <c r="GQB810" s="1">
        <v>100302.53</v>
      </c>
      <c r="GQC810" s="41">
        <f>13095.23+544.5+254739.02</f>
        <v>268378.75</v>
      </c>
      <c r="GQD810" s="1">
        <f t="shared" si="687"/>
        <v>168076.22</v>
      </c>
      <c r="GQE810" s="1">
        <f t="shared" si="688"/>
        <v>268378.75</v>
      </c>
      <c r="GQF810" s="11">
        <v>15320</v>
      </c>
      <c r="GQG810" s="11">
        <v>60900</v>
      </c>
      <c r="GQH810" s="42" t="s">
        <v>937</v>
      </c>
      <c r="GQI810" s="7"/>
      <c r="GQJ810" s="7"/>
      <c r="GQK810" s="7"/>
      <c r="GQL810" s="7"/>
      <c r="GQM810" s="7"/>
      <c r="GQN810" s="1"/>
      <c r="GQO810" s="1"/>
      <c r="GQP810" s="1"/>
      <c r="GQQ810" s="1"/>
      <c r="GQR810" s="7"/>
      <c r="GQS810" s="1"/>
      <c r="GQT810" s="1"/>
      <c r="GQU810" s="1"/>
      <c r="GQV810" s="1"/>
      <c r="GQW810" s="1"/>
      <c r="GQX810" s="1"/>
      <c r="GQY810" s="1"/>
      <c r="GQZ810" s="1"/>
      <c r="GRA810" s="1"/>
      <c r="GRB810" s="1"/>
      <c r="GRC810" s="1"/>
      <c r="GRD810" s="41"/>
      <c r="GRE810" s="1"/>
      <c r="GRF810" s="1"/>
      <c r="GRG810" s="1"/>
      <c r="GRH810" s="1">
        <v>100302.53</v>
      </c>
      <c r="GRI810" s="41">
        <f>13095.23+544.5+254739.02</f>
        <v>268378.75</v>
      </c>
      <c r="GRJ810" s="1">
        <f t="shared" ref="GRJ810:GSP810" si="689">GRI810-GRH810</f>
        <v>168076.22</v>
      </c>
      <c r="GRK810" s="1">
        <f t="shared" ref="GRK810:GSQ810" si="690">GRH810+GRJ810</f>
        <v>268378.75</v>
      </c>
      <c r="GRL810" s="11">
        <v>15320</v>
      </c>
      <c r="GRM810" s="11">
        <v>60900</v>
      </c>
      <c r="GRN810" s="42" t="s">
        <v>937</v>
      </c>
      <c r="GRO810" s="7"/>
      <c r="GRP810" s="7"/>
      <c r="GRQ810" s="7"/>
      <c r="GRR810" s="7"/>
      <c r="GRS810" s="7"/>
      <c r="GRT810" s="1"/>
      <c r="GRU810" s="1"/>
      <c r="GRV810" s="1"/>
      <c r="GRW810" s="1"/>
      <c r="GRX810" s="7"/>
      <c r="GRY810" s="1"/>
      <c r="GRZ810" s="1"/>
      <c r="GSA810" s="1"/>
      <c r="GSB810" s="1"/>
      <c r="GSC810" s="1"/>
      <c r="GSD810" s="1"/>
      <c r="GSE810" s="1"/>
      <c r="GSF810" s="1"/>
      <c r="GSG810" s="1"/>
      <c r="GSH810" s="1"/>
      <c r="GSI810" s="1"/>
      <c r="GSJ810" s="41"/>
      <c r="GSK810" s="1"/>
      <c r="GSL810" s="1"/>
      <c r="GSM810" s="1"/>
      <c r="GSN810" s="1">
        <v>100302.53</v>
      </c>
      <c r="GSO810" s="41">
        <f>13095.23+544.5+254739.02</f>
        <v>268378.75</v>
      </c>
      <c r="GSP810" s="1">
        <f t="shared" si="689"/>
        <v>168076.22</v>
      </c>
      <c r="GSQ810" s="1">
        <f t="shared" si="690"/>
        <v>268378.75</v>
      </c>
      <c r="GSR810" s="11">
        <v>15320</v>
      </c>
      <c r="GSS810" s="11">
        <v>60900</v>
      </c>
      <c r="GST810" s="42" t="s">
        <v>937</v>
      </c>
      <c r="GSU810" s="7"/>
      <c r="GSV810" s="7"/>
      <c r="GSW810" s="7"/>
      <c r="GSX810" s="7"/>
      <c r="GSY810" s="7"/>
      <c r="GSZ810" s="1"/>
      <c r="GTA810" s="1"/>
      <c r="GTB810" s="1"/>
      <c r="GTC810" s="1"/>
      <c r="GTD810" s="7"/>
      <c r="GTE810" s="1"/>
      <c r="GTF810" s="1"/>
      <c r="GTG810" s="1"/>
      <c r="GTH810" s="1"/>
      <c r="GTI810" s="1"/>
      <c r="GTJ810" s="1"/>
      <c r="GTK810" s="1"/>
      <c r="GTL810" s="1"/>
      <c r="GTM810" s="1"/>
      <c r="GTN810" s="1"/>
      <c r="GTO810" s="1"/>
      <c r="GTP810" s="41"/>
      <c r="GTQ810" s="1"/>
      <c r="GTR810" s="1"/>
      <c r="GTS810" s="1"/>
      <c r="GTT810" s="1">
        <v>100302.53</v>
      </c>
      <c r="GTU810" s="41">
        <f>13095.23+544.5+254739.02</f>
        <v>268378.75</v>
      </c>
      <c r="GTV810" s="1">
        <f t="shared" ref="GTV810:GVB810" si="691">GTU810-GTT810</f>
        <v>168076.22</v>
      </c>
      <c r="GTW810" s="1">
        <f t="shared" ref="GTW810:GVC810" si="692">GTT810+GTV810</f>
        <v>268378.75</v>
      </c>
      <c r="GTX810" s="11">
        <v>15320</v>
      </c>
      <c r="GTY810" s="11">
        <v>60900</v>
      </c>
      <c r="GTZ810" s="42" t="s">
        <v>937</v>
      </c>
      <c r="GUA810" s="7"/>
      <c r="GUB810" s="7"/>
      <c r="GUC810" s="7"/>
      <c r="GUD810" s="7"/>
      <c r="GUE810" s="7"/>
      <c r="GUF810" s="1"/>
      <c r="GUG810" s="1"/>
      <c r="GUH810" s="1"/>
      <c r="GUI810" s="1"/>
      <c r="GUJ810" s="7"/>
      <c r="GUK810" s="1"/>
      <c r="GUL810" s="1"/>
      <c r="GUM810" s="1"/>
      <c r="GUN810" s="1"/>
      <c r="GUO810" s="1"/>
      <c r="GUP810" s="1"/>
      <c r="GUQ810" s="1"/>
      <c r="GUR810" s="1"/>
      <c r="GUS810" s="1"/>
      <c r="GUT810" s="1"/>
      <c r="GUU810" s="1"/>
      <c r="GUV810" s="41"/>
      <c r="GUW810" s="1"/>
      <c r="GUX810" s="1"/>
      <c r="GUY810" s="1"/>
      <c r="GUZ810" s="1">
        <v>100302.53</v>
      </c>
      <c r="GVA810" s="41">
        <f>13095.23+544.5+254739.02</f>
        <v>268378.75</v>
      </c>
      <c r="GVB810" s="1">
        <f t="shared" si="691"/>
        <v>168076.22</v>
      </c>
      <c r="GVC810" s="1">
        <f t="shared" si="692"/>
        <v>268378.75</v>
      </c>
      <c r="GVD810" s="11">
        <v>15320</v>
      </c>
      <c r="GVE810" s="11">
        <v>60900</v>
      </c>
      <c r="GVF810" s="42" t="s">
        <v>937</v>
      </c>
      <c r="GVG810" s="7"/>
      <c r="GVH810" s="7"/>
      <c r="GVI810" s="7"/>
      <c r="GVJ810" s="7"/>
      <c r="GVK810" s="7"/>
      <c r="GVL810" s="1"/>
      <c r="GVM810" s="1"/>
      <c r="GVN810" s="1"/>
      <c r="GVO810" s="1"/>
      <c r="GVP810" s="7"/>
      <c r="GVQ810" s="1"/>
      <c r="GVR810" s="1"/>
      <c r="GVS810" s="1"/>
      <c r="GVT810" s="1"/>
      <c r="GVU810" s="1"/>
      <c r="GVV810" s="1"/>
      <c r="GVW810" s="1"/>
      <c r="GVX810" s="1"/>
      <c r="GVY810" s="1"/>
      <c r="GVZ810" s="1"/>
      <c r="GWA810" s="1"/>
      <c r="GWB810" s="41"/>
      <c r="GWC810" s="1"/>
      <c r="GWD810" s="1"/>
      <c r="GWE810" s="1"/>
      <c r="GWF810" s="1">
        <v>100302.53</v>
      </c>
      <c r="GWG810" s="41">
        <f>13095.23+544.5+254739.02</f>
        <v>268378.75</v>
      </c>
      <c r="GWH810" s="1">
        <f t="shared" ref="GWH810:GXN810" si="693">GWG810-GWF810</f>
        <v>168076.22</v>
      </c>
      <c r="GWI810" s="1">
        <f t="shared" ref="GWI810:GXO810" si="694">GWF810+GWH810</f>
        <v>268378.75</v>
      </c>
      <c r="GWJ810" s="11">
        <v>15320</v>
      </c>
      <c r="GWK810" s="11">
        <v>60900</v>
      </c>
      <c r="GWL810" s="42" t="s">
        <v>937</v>
      </c>
      <c r="GWM810" s="7"/>
      <c r="GWN810" s="7"/>
      <c r="GWO810" s="7"/>
      <c r="GWP810" s="7"/>
      <c r="GWQ810" s="7"/>
      <c r="GWR810" s="1"/>
      <c r="GWS810" s="1"/>
      <c r="GWT810" s="1"/>
      <c r="GWU810" s="1"/>
      <c r="GWV810" s="7"/>
      <c r="GWW810" s="1"/>
      <c r="GWX810" s="1"/>
      <c r="GWY810" s="1"/>
      <c r="GWZ810" s="1"/>
      <c r="GXA810" s="1"/>
      <c r="GXB810" s="1"/>
      <c r="GXC810" s="1"/>
      <c r="GXD810" s="1"/>
      <c r="GXE810" s="1"/>
      <c r="GXF810" s="1"/>
      <c r="GXG810" s="1"/>
      <c r="GXH810" s="41"/>
      <c r="GXI810" s="1"/>
      <c r="GXJ810" s="1"/>
      <c r="GXK810" s="1"/>
      <c r="GXL810" s="1">
        <v>100302.53</v>
      </c>
      <c r="GXM810" s="41">
        <f>13095.23+544.5+254739.02</f>
        <v>268378.75</v>
      </c>
      <c r="GXN810" s="1">
        <f t="shared" si="693"/>
        <v>168076.22</v>
      </c>
      <c r="GXO810" s="1">
        <f t="shared" si="694"/>
        <v>268378.75</v>
      </c>
      <c r="GXP810" s="11">
        <v>15320</v>
      </c>
      <c r="GXQ810" s="11">
        <v>60900</v>
      </c>
      <c r="GXR810" s="42" t="s">
        <v>937</v>
      </c>
      <c r="GXS810" s="7"/>
      <c r="GXT810" s="7"/>
      <c r="GXU810" s="7"/>
      <c r="GXV810" s="7"/>
      <c r="GXW810" s="7"/>
      <c r="GXX810" s="1"/>
      <c r="GXY810" s="1"/>
      <c r="GXZ810" s="1"/>
      <c r="GYA810" s="1"/>
      <c r="GYB810" s="7"/>
      <c r="GYC810" s="1"/>
      <c r="GYD810" s="1"/>
      <c r="GYE810" s="1"/>
      <c r="GYF810" s="1"/>
      <c r="GYG810" s="1"/>
      <c r="GYH810" s="1"/>
      <c r="GYI810" s="1"/>
      <c r="GYJ810" s="1"/>
      <c r="GYK810" s="1"/>
      <c r="GYL810" s="1"/>
      <c r="GYM810" s="1"/>
      <c r="GYN810" s="41"/>
      <c r="GYO810" s="1"/>
      <c r="GYP810" s="1"/>
      <c r="GYQ810" s="1"/>
      <c r="GYR810" s="1">
        <v>100302.53</v>
      </c>
      <c r="GYS810" s="41">
        <f>13095.23+544.5+254739.02</f>
        <v>268378.75</v>
      </c>
      <c r="GYT810" s="1">
        <f t="shared" ref="GYT810:GZZ810" si="695">GYS810-GYR810</f>
        <v>168076.22</v>
      </c>
      <c r="GYU810" s="1">
        <f t="shared" ref="GYU810:HAA810" si="696">GYR810+GYT810</f>
        <v>268378.75</v>
      </c>
      <c r="GYV810" s="11">
        <v>15320</v>
      </c>
      <c r="GYW810" s="11">
        <v>60900</v>
      </c>
      <c r="GYX810" s="42" t="s">
        <v>937</v>
      </c>
      <c r="GYY810" s="7"/>
      <c r="GYZ810" s="7"/>
      <c r="GZA810" s="7"/>
      <c r="GZB810" s="7"/>
      <c r="GZC810" s="7"/>
      <c r="GZD810" s="1"/>
      <c r="GZE810" s="1"/>
      <c r="GZF810" s="1"/>
      <c r="GZG810" s="1"/>
      <c r="GZH810" s="7"/>
      <c r="GZI810" s="1"/>
      <c r="GZJ810" s="1"/>
      <c r="GZK810" s="1"/>
      <c r="GZL810" s="1"/>
      <c r="GZM810" s="1"/>
      <c r="GZN810" s="1"/>
      <c r="GZO810" s="1"/>
      <c r="GZP810" s="1"/>
      <c r="GZQ810" s="1"/>
      <c r="GZR810" s="1"/>
      <c r="GZS810" s="1"/>
      <c r="GZT810" s="41"/>
      <c r="GZU810" s="1"/>
      <c r="GZV810" s="1"/>
      <c r="GZW810" s="1"/>
      <c r="GZX810" s="1">
        <v>100302.53</v>
      </c>
      <c r="GZY810" s="41">
        <f>13095.23+544.5+254739.02</f>
        <v>268378.75</v>
      </c>
      <c r="GZZ810" s="1">
        <f t="shared" si="695"/>
        <v>168076.22</v>
      </c>
      <c r="HAA810" s="1">
        <f t="shared" si="696"/>
        <v>268378.75</v>
      </c>
      <c r="HAB810" s="11">
        <v>15320</v>
      </c>
      <c r="HAC810" s="11">
        <v>60900</v>
      </c>
      <c r="HAD810" s="42" t="s">
        <v>937</v>
      </c>
      <c r="HAE810" s="7"/>
      <c r="HAF810" s="7"/>
      <c r="HAG810" s="7"/>
      <c r="HAH810" s="7"/>
      <c r="HAI810" s="7"/>
      <c r="HAJ810" s="1"/>
      <c r="HAK810" s="1"/>
      <c r="HAL810" s="1"/>
      <c r="HAM810" s="1"/>
      <c r="HAN810" s="7"/>
      <c r="HAO810" s="1"/>
      <c r="HAP810" s="1"/>
      <c r="HAQ810" s="1"/>
      <c r="HAR810" s="1"/>
      <c r="HAS810" s="1"/>
      <c r="HAT810" s="1"/>
      <c r="HAU810" s="1"/>
      <c r="HAV810" s="1"/>
      <c r="HAW810" s="1"/>
      <c r="HAX810" s="1"/>
      <c r="HAY810" s="1"/>
      <c r="HAZ810" s="41"/>
      <c r="HBA810" s="1"/>
      <c r="HBB810" s="1"/>
      <c r="HBC810" s="1"/>
      <c r="HBD810" s="1">
        <v>100302.53</v>
      </c>
      <c r="HBE810" s="41">
        <f>13095.23+544.5+254739.02</f>
        <v>268378.75</v>
      </c>
      <c r="HBF810" s="1">
        <f t="shared" ref="HBF810:HCL810" si="697">HBE810-HBD810</f>
        <v>168076.22</v>
      </c>
      <c r="HBG810" s="1">
        <f t="shared" ref="HBG810:HCM810" si="698">HBD810+HBF810</f>
        <v>268378.75</v>
      </c>
      <c r="HBH810" s="11">
        <v>15320</v>
      </c>
      <c r="HBI810" s="11">
        <v>60900</v>
      </c>
      <c r="HBJ810" s="42" t="s">
        <v>937</v>
      </c>
      <c r="HBK810" s="7"/>
      <c r="HBL810" s="7"/>
      <c r="HBM810" s="7"/>
      <c r="HBN810" s="7"/>
      <c r="HBO810" s="7"/>
      <c r="HBP810" s="1"/>
      <c r="HBQ810" s="1"/>
      <c r="HBR810" s="1"/>
      <c r="HBS810" s="1"/>
      <c r="HBT810" s="7"/>
      <c r="HBU810" s="1"/>
      <c r="HBV810" s="1"/>
      <c r="HBW810" s="1"/>
      <c r="HBX810" s="1"/>
      <c r="HBY810" s="1"/>
      <c r="HBZ810" s="1"/>
      <c r="HCA810" s="1"/>
      <c r="HCB810" s="1"/>
      <c r="HCC810" s="1"/>
      <c r="HCD810" s="1"/>
      <c r="HCE810" s="1"/>
      <c r="HCF810" s="41"/>
      <c r="HCG810" s="1"/>
      <c r="HCH810" s="1"/>
      <c r="HCI810" s="1"/>
      <c r="HCJ810" s="1">
        <v>100302.53</v>
      </c>
      <c r="HCK810" s="41">
        <f>13095.23+544.5+254739.02</f>
        <v>268378.75</v>
      </c>
      <c r="HCL810" s="1">
        <f t="shared" si="697"/>
        <v>168076.22</v>
      </c>
      <c r="HCM810" s="1">
        <f t="shared" si="698"/>
        <v>268378.75</v>
      </c>
      <c r="HCN810" s="11">
        <v>15320</v>
      </c>
      <c r="HCO810" s="11">
        <v>60900</v>
      </c>
      <c r="HCP810" s="42" t="s">
        <v>937</v>
      </c>
      <c r="HCQ810" s="7"/>
      <c r="HCR810" s="7"/>
      <c r="HCS810" s="7"/>
      <c r="HCT810" s="7"/>
      <c r="HCU810" s="7"/>
      <c r="HCV810" s="1"/>
      <c r="HCW810" s="1"/>
      <c r="HCX810" s="1"/>
      <c r="HCY810" s="1"/>
      <c r="HCZ810" s="7"/>
      <c r="HDA810" s="1"/>
      <c r="HDB810" s="1"/>
      <c r="HDC810" s="1"/>
      <c r="HDD810" s="1"/>
      <c r="HDE810" s="1"/>
      <c r="HDF810" s="1"/>
      <c r="HDG810" s="1"/>
      <c r="HDH810" s="1"/>
      <c r="HDI810" s="1"/>
      <c r="HDJ810" s="1"/>
      <c r="HDK810" s="1"/>
      <c r="HDL810" s="41"/>
      <c r="HDM810" s="1"/>
      <c r="HDN810" s="1"/>
      <c r="HDO810" s="1"/>
      <c r="HDP810" s="1">
        <v>100302.53</v>
      </c>
      <c r="HDQ810" s="41">
        <f>13095.23+544.5+254739.02</f>
        <v>268378.75</v>
      </c>
      <c r="HDR810" s="1">
        <f t="shared" ref="HDR810:HEX810" si="699">HDQ810-HDP810</f>
        <v>168076.22</v>
      </c>
      <c r="HDS810" s="1">
        <f t="shared" ref="HDS810:HEY810" si="700">HDP810+HDR810</f>
        <v>268378.75</v>
      </c>
      <c r="HDT810" s="11">
        <v>15320</v>
      </c>
      <c r="HDU810" s="11">
        <v>60900</v>
      </c>
      <c r="HDV810" s="42" t="s">
        <v>937</v>
      </c>
      <c r="HDW810" s="7"/>
      <c r="HDX810" s="7"/>
      <c r="HDY810" s="7"/>
      <c r="HDZ810" s="7"/>
      <c r="HEA810" s="7"/>
      <c r="HEB810" s="1"/>
      <c r="HEC810" s="1"/>
      <c r="HED810" s="1"/>
      <c r="HEE810" s="1"/>
      <c r="HEF810" s="7"/>
      <c r="HEG810" s="1"/>
      <c r="HEH810" s="1"/>
      <c r="HEI810" s="1"/>
      <c r="HEJ810" s="1"/>
      <c r="HEK810" s="1"/>
      <c r="HEL810" s="1"/>
      <c r="HEM810" s="1"/>
      <c r="HEN810" s="1"/>
      <c r="HEO810" s="1"/>
      <c r="HEP810" s="1"/>
      <c r="HEQ810" s="1"/>
      <c r="HER810" s="41"/>
      <c r="HES810" s="1"/>
      <c r="HET810" s="1"/>
      <c r="HEU810" s="1"/>
      <c r="HEV810" s="1">
        <v>100302.53</v>
      </c>
      <c r="HEW810" s="41">
        <f>13095.23+544.5+254739.02</f>
        <v>268378.75</v>
      </c>
      <c r="HEX810" s="1">
        <f t="shared" si="699"/>
        <v>168076.22</v>
      </c>
      <c r="HEY810" s="1">
        <f t="shared" si="700"/>
        <v>268378.75</v>
      </c>
      <c r="HEZ810" s="11">
        <v>15320</v>
      </c>
      <c r="HFA810" s="11">
        <v>60900</v>
      </c>
      <c r="HFB810" s="42" t="s">
        <v>937</v>
      </c>
      <c r="HFC810" s="7"/>
      <c r="HFD810" s="7"/>
      <c r="HFE810" s="7"/>
      <c r="HFF810" s="7"/>
      <c r="HFG810" s="7"/>
      <c r="HFH810" s="1"/>
      <c r="HFI810" s="1"/>
      <c r="HFJ810" s="1"/>
      <c r="HFK810" s="1"/>
      <c r="HFL810" s="7"/>
      <c r="HFM810" s="1"/>
      <c r="HFN810" s="1"/>
      <c r="HFO810" s="1"/>
      <c r="HFP810" s="1"/>
      <c r="HFQ810" s="1"/>
      <c r="HFR810" s="1"/>
      <c r="HFS810" s="1"/>
      <c r="HFT810" s="1"/>
      <c r="HFU810" s="1"/>
      <c r="HFV810" s="1"/>
      <c r="HFW810" s="1"/>
      <c r="HFX810" s="41"/>
      <c r="HFY810" s="1"/>
      <c r="HFZ810" s="1"/>
      <c r="HGA810" s="1"/>
      <c r="HGB810" s="1">
        <v>100302.53</v>
      </c>
      <c r="HGC810" s="41">
        <f>13095.23+544.5+254739.02</f>
        <v>268378.75</v>
      </c>
      <c r="HGD810" s="1">
        <f t="shared" ref="HGD810:HHJ810" si="701">HGC810-HGB810</f>
        <v>168076.22</v>
      </c>
      <c r="HGE810" s="1">
        <f t="shared" ref="HGE810:HHK810" si="702">HGB810+HGD810</f>
        <v>268378.75</v>
      </c>
      <c r="HGF810" s="11">
        <v>15320</v>
      </c>
      <c r="HGG810" s="11">
        <v>60900</v>
      </c>
      <c r="HGH810" s="42" t="s">
        <v>937</v>
      </c>
      <c r="HGI810" s="7"/>
      <c r="HGJ810" s="7"/>
      <c r="HGK810" s="7"/>
      <c r="HGL810" s="7"/>
      <c r="HGM810" s="7"/>
      <c r="HGN810" s="1"/>
      <c r="HGO810" s="1"/>
      <c r="HGP810" s="1"/>
      <c r="HGQ810" s="1"/>
      <c r="HGR810" s="7"/>
      <c r="HGS810" s="1"/>
      <c r="HGT810" s="1"/>
      <c r="HGU810" s="1"/>
      <c r="HGV810" s="1"/>
      <c r="HGW810" s="1"/>
      <c r="HGX810" s="1"/>
      <c r="HGY810" s="1"/>
      <c r="HGZ810" s="1"/>
      <c r="HHA810" s="1"/>
      <c r="HHB810" s="1"/>
      <c r="HHC810" s="1"/>
      <c r="HHD810" s="41"/>
      <c r="HHE810" s="1"/>
      <c r="HHF810" s="1"/>
      <c r="HHG810" s="1"/>
      <c r="HHH810" s="1">
        <v>100302.53</v>
      </c>
      <c r="HHI810" s="41">
        <f>13095.23+544.5+254739.02</f>
        <v>268378.75</v>
      </c>
      <c r="HHJ810" s="1">
        <f t="shared" si="701"/>
        <v>168076.22</v>
      </c>
      <c r="HHK810" s="1">
        <f t="shared" si="702"/>
        <v>268378.75</v>
      </c>
      <c r="HHL810" s="11">
        <v>15320</v>
      </c>
      <c r="HHM810" s="11">
        <v>60900</v>
      </c>
      <c r="HHN810" s="42" t="s">
        <v>937</v>
      </c>
      <c r="HHO810" s="7"/>
      <c r="HHP810" s="7"/>
      <c r="HHQ810" s="7"/>
      <c r="HHR810" s="7"/>
      <c r="HHS810" s="7"/>
      <c r="HHT810" s="1"/>
      <c r="HHU810" s="1"/>
      <c r="HHV810" s="1"/>
      <c r="HHW810" s="1"/>
      <c r="HHX810" s="7"/>
      <c r="HHY810" s="1"/>
      <c r="HHZ810" s="1"/>
      <c r="HIA810" s="1"/>
      <c r="HIB810" s="1"/>
      <c r="HIC810" s="1"/>
      <c r="HID810" s="1"/>
      <c r="HIE810" s="1"/>
      <c r="HIF810" s="1"/>
      <c r="HIG810" s="1"/>
      <c r="HIH810" s="1"/>
      <c r="HII810" s="1"/>
      <c r="HIJ810" s="41"/>
      <c r="HIK810" s="1"/>
      <c r="HIL810" s="1"/>
      <c r="HIM810" s="1"/>
      <c r="HIN810" s="1">
        <v>100302.53</v>
      </c>
      <c r="HIO810" s="41">
        <f>13095.23+544.5+254739.02</f>
        <v>268378.75</v>
      </c>
      <c r="HIP810" s="1">
        <f t="shared" ref="HIP810:HJV810" si="703">HIO810-HIN810</f>
        <v>168076.22</v>
      </c>
      <c r="HIQ810" s="1">
        <f t="shared" ref="HIQ810:HJW810" si="704">HIN810+HIP810</f>
        <v>268378.75</v>
      </c>
      <c r="HIR810" s="11">
        <v>15320</v>
      </c>
      <c r="HIS810" s="11">
        <v>60900</v>
      </c>
      <c r="HIT810" s="42" t="s">
        <v>937</v>
      </c>
      <c r="HIU810" s="7"/>
      <c r="HIV810" s="7"/>
      <c r="HIW810" s="7"/>
      <c r="HIX810" s="7"/>
      <c r="HIY810" s="7"/>
      <c r="HIZ810" s="1"/>
      <c r="HJA810" s="1"/>
      <c r="HJB810" s="1"/>
      <c r="HJC810" s="1"/>
      <c r="HJD810" s="7"/>
      <c r="HJE810" s="1"/>
      <c r="HJF810" s="1"/>
      <c r="HJG810" s="1"/>
      <c r="HJH810" s="1"/>
      <c r="HJI810" s="1"/>
      <c r="HJJ810" s="1"/>
      <c r="HJK810" s="1"/>
      <c r="HJL810" s="1"/>
      <c r="HJM810" s="1"/>
      <c r="HJN810" s="1"/>
      <c r="HJO810" s="1"/>
      <c r="HJP810" s="41"/>
      <c r="HJQ810" s="1"/>
      <c r="HJR810" s="1"/>
      <c r="HJS810" s="1"/>
      <c r="HJT810" s="1">
        <v>100302.53</v>
      </c>
      <c r="HJU810" s="41">
        <f>13095.23+544.5+254739.02</f>
        <v>268378.75</v>
      </c>
      <c r="HJV810" s="1">
        <f t="shared" si="703"/>
        <v>168076.22</v>
      </c>
      <c r="HJW810" s="1">
        <f t="shared" si="704"/>
        <v>268378.75</v>
      </c>
      <c r="HJX810" s="11">
        <v>15320</v>
      </c>
      <c r="HJY810" s="11">
        <v>60900</v>
      </c>
      <c r="HJZ810" s="42" t="s">
        <v>937</v>
      </c>
      <c r="HKA810" s="7"/>
      <c r="HKB810" s="7"/>
      <c r="HKC810" s="7"/>
      <c r="HKD810" s="7"/>
      <c r="HKE810" s="7"/>
      <c r="HKF810" s="1"/>
      <c r="HKG810" s="1"/>
      <c r="HKH810" s="1"/>
      <c r="HKI810" s="1"/>
      <c r="HKJ810" s="7"/>
      <c r="HKK810" s="1"/>
      <c r="HKL810" s="1"/>
      <c r="HKM810" s="1"/>
      <c r="HKN810" s="1"/>
      <c r="HKO810" s="1"/>
      <c r="HKP810" s="1"/>
      <c r="HKQ810" s="1"/>
      <c r="HKR810" s="1"/>
      <c r="HKS810" s="1"/>
      <c r="HKT810" s="1"/>
      <c r="HKU810" s="1"/>
      <c r="HKV810" s="41"/>
      <c r="HKW810" s="1"/>
      <c r="HKX810" s="1"/>
      <c r="HKY810" s="1"/>
      <c r="HKZ810" s="1">
        <v>100302.53</v>
      </c>
      <c r="HLA810" s="41">
        <f>13095.23+544.5+254739.02</f>
        <v>268378.75</v>
      </c>
      <c r="HLB810" s="1">
        <f t="shared" ref="HLB810:HMH810" si="705">HLA810-HKZ810</f>
        <v>168076.22</v>
      </c>
      <c r="HLC810" s="1">
        <f t="shared" ref="HLC810:HMI810" si="706">HKZ810+HLB810</f>
        <v>268378.75</v>
      </c>
      <c r="HLD810" s="11">
        <v>15320</v>
      </c>
      <c r="HLE810" s="11">
        <v>60900</v>
      </c>
      <c r="HLF810" s="42" t="s">
        <v>937</v>
      </c>
      <c r="HLG810" s="7"/>
      <c r="HLH810" s="7"/>
      <c r="HLI810" s="7"/>
      <c r="HLJ810" s="7"/>
      <c r="HLK810" s="7"/>
      <c r="HLL810" s="1"/>
      <c r="HLM810" s="1"/>
      <c r="HLN810" s="1"/>
      <c r="HLO810" s="1"/>
      <c r="HLP810" s="7"/>
      <c r="HLQ810" s="1"/>
      <c r="HLR810" s="1"/>
      <c r="HLS810" s="1"/>
      <c r="HLT810" s="1"/>
      <c r="HLU810" s="1"/>
      <c r="HLV810" s="1"/>
      <c r="HLW810" s="1"/>
      <c r="HLX810" s="1"/>
      <c r="HLY810" s="1"/>
      <c r="HLZ810" s="1"/>
      <c r="HMA810" s="1"/>
      <c r="HMB810" s="41"/>
      <c r="HMC810" s="1"/>
      <c r="HMD810" s="1"/>
      <c r="HME810" s="1"/>
      <c r="HMF810" s="1">
        <v>100302.53</v>
      </c>
      <c r="HMG810" s="41">
        <f>13095.23+544.5+254739.02</f>
        <v>268378.75</v>
      </c>
      <c r="HMH810" s="1">
        <f t="shared" si="705"/>
        <v>168076.22</v>
      </c>
      <c r="HMI810" s="1">
        <f t="shared" si="706"/>
        <v>268378.75</v>
      </c>
      <c r="HMJ810" s="11">
        <v>15320</v>
      </c>
      <c r="HMK810" s="11">
        <v>60900</v>
      </c>
      <c r="HML810" s="42" t="s">
        <v>937</v>
      </c>
      <c r="HMM810" s="7"/>
      <c r="HMN810" s="7"/>
      <c r="HMO810" s="7"/>
      <c r="HMP810" s="7"/>
      <c r="HMQ810" s="7"/>
      <c r="HMR810" s="1"/>
      <c r="HMS810" s="1"/>
      <c r="HMT810" s="1"/>
      <c r="HMU810" s="1"/>
      <c r="HMV810" s="7"/>
      <c r="HMW810" s="1"/>
      <c r="HMX810" s="1"/>
      <c r="HMY810" s="1"/>
      <c r="HMZ810" s="1"/>
      <c r="HNA810" s="1"/>
      <c r="HNB810" s="1"/>
      <c r="HNC810" s="1"/>
      <c r="HND810" s="1"/>
      <c r="HNE810" s="1"/>
      <c r="HNF810" s="1"/>
      <c r="HNG810" s="1"/>
      <c r="HNH810" s="41"/>
      <c r="HNI810" s="1"/>
      <c r="HNJ810" s="1"/>
      <c r="HNK810" s="1"/>
      <c r="HNL810" s="1">
        <v>100302.53</v>
      </c>
      <c r="HNM810" s="41">
        <f>13095.23+544.5+254739.02</f>
        <v>268378.75</v>
      </c>
      <c r="HNN810" s="1">
        <f t="shared" ref="HNN810:HOT810" si="707">HNM810-HNL810</f>
        <v>168076.22</v>
      </c>
      <c r="HNO810" s="1">
        <f t="shared" ref="HNO810:HOU810" si="708">HNL810+HNN810</f>
        <v>268378.75</v>
      </c>
      <c r="HNP810" s="11">
        <v>15320</v>
      </c>
      <c r="HNQ810" s="11">
        <v>60900</v>
      </c>
      <c r="HNR810" s="42" t="s">
        <v>937</v>
      </c>
      <c r="HNS810" s="7"/>
      <c r="HNT810" s="7"/>
      <c r="HNU810" s="7"/>
      <c r="HNV810" s="7"/>
      <c r="HNW810" s="7"/>
      <c r="HNX810" s="1"/>
      <c r="HNY810" s="1"/>
      <c r="HNZ810" s="1"/>
      <c r="HOA810" s="1"/>
      <c r="HOB810" s="7"/>
      <c r="HOC810" s="1"/>
      <c r="HOD810" s="1"/>
      <c r="HOE810" s="1"/>
      <c r="HOF810" s="1"/>
      <c r="HOG810" s="1"/>
      <c r="HOH810" s="1"/>
      <c r="HOI810" s="1"/>
      <c r="HOJ810" s="1"/>
      <c r="HOK810" s="1"/>
      <c r="HOL810" s="1"/>
      <c r="HOM810" s="1"/>
      <c r="HON810" s="41"/>
      <c r="HOO810" s="1"/>
      <c r="HOP810" s="1"/>
      <c r="HOQ810" s="1"/>
      <c r="HOR810" s="1">
        <v>100302.53</v>
      </c>
      <c r="HOS810" s="41">
        <f>13095.23+544.5+254739.02</f>
        <v>268378.75</v>
      </c>
      <c r="HOT810" s="1">
        <f t="shared" si="707"/>
        <v>168076.22</v>
      </c>
      <c r="HOU810" s="1">
        <f t="shared" si="708"/>
        <v>268378.75</v>
      </c>
      <c r="HOV810" s="11">
        <v>15320</v>
      </c>
      <c r="HOW810" s="11">
        <v>60900</v>
      </c>
      <c r="HOX810" s="42" t="s">
        <v>937</v>
      </c>
      <c r="HOY810" s="7"/>
      <c r="HOZ810" s="7"/>
      <c r="HPA810" s="7"/>
      <c r="HPB810" s="7"/>
      <c r="HPC810" s="7"/>
      <c r="HPD810" s="1"/>
      <c r="HPE810" s="1"/>
      <c r="HPF810" s="1"/>
      <c r="HPG810" s="1"/>
      <c r="HPH810" s="7"/>
      <c r="HPI810" s="1"/>
      <c r="HPJ810" s="1"/>
      <c r="HPK810" s="1"/>
      <c r="HPL810" s="1"/>
      <c r="HPM810" s="1"/>
      <c r="HPN810" s="1"/>
      <c r="HPO810" s="1"/>
      <c r="HPP810" s="1"/>
      <c r="HPQ810" s="1"/>
      <c r="HPR810" s="1"/>
      <c r="HPS810" s="1"/>
      <c r="HPT810" s="41"/>
      <c r="HPU810" s="1"/>
      <c r="HPV810" s="1"/>
      <c r="HPW810" s="1"/>
      <c r="HPX810" s="1">
        <v>100302.53</v>
      </c>
      <c r="HPY810" s="41">
        <f>13095.23+544.5+254739.02</f>
        <v>268378.75</v>
      </c>
      <c r="HPZ810" s="1">
        <f t="shared" ref="HPZ810:HRF810" si="709">HPY810-HPX810</f>
        <v>168076.22</v>
      </c>
      <c r="HQA810" s="1">
        <f t="shared" ref="HQA810:HRG810" si="710">HPX810+HPZ810</f>
        <v>268378.75</v>
      </c>
      <c r="HQB810" s="11">
        <v>15320</v>
      </c>
      <c r="HQC810" s="11">
        <v>60900</v>
      </c>
      <c r="HQD810" s="42" t="s">
        <v>937</v>
      </c>
      <c r="HQE810" s="7"/>
      <c r="HQF810" s="7"/>
      <c r="HQG810" s="7"/>
      <c r="HQH810" s="7"/>
      <c r="HQI810" s="7"/>
      <c r="HQJ810" s="1"/>
      <c r="HQK810" s="1"/>
      <c r="HQL810" s="1"/>
      <c r="HQM810" s="1"/>
      <c r="HQN810" s="7"/>
      <c r="HQO810" s="1"/>
      <c r="HQP810" s="1"/>
      <c r="HQQ810" s="1"/>
      <c r="HQR810" s="1"/>
      <c r="HQS810" s="1"/>
      <c r="HQT810" s="1"/>
      <c r="HQU810" s="1"/>
      <c r="HQV810" s="1"/>
      <c r="HQW810" s="1"/>
      <c r="HQX810" s="1"/>
      <c r="HQY810" s="1"/>
      <c r="HQZ810" s="41"/>
      <c r="HRA810" s="1"/>
      <c r="HRB810" s="1"/>
      <c r="HRC810" s="1"/>
      <c r="HRD810" s="1">
        <v>100302.53</v>
      </c>
      <c r="HRE810" s="41">
        <f>13095.23+544.5+254739.02</f>
        <v>268378.75</v>
      </c>
      <c r="HRF810" s="1">
        <f t="shared" si="709"/>
        <v>168076.22</v>
      </c>
      <c r="HRG810" s="1">
        <f t="shared" si="710"/>
        <v>268378.75</v>
      </c>
      <c r="HRH810" s="11">
        <v>15320</v>
      </c>
      <c r="HRI810" s="11">
        <v>60900</v>
      </c>
      <c r="HRJ810" s="42" t="s">
        <v>937</v>
      </c>
      <c r="HRK810" s="7"/>
      <c r="HRL810" s="7"/>
      <c r="HRM810" s="7"/>
      <c r="HRN810" s="7"/>
      <c r="HRO810" s="7"/>
      <c r="HRP810" s="1"/>
      <c r="HRQ810" s="1"/>
      <c r="HRR810" s="1"/>
      <c r="HRS810" s="1"/>
      <c r="HRT810" s="7"/>
      <c r="HRU810" s="1"/>
      <c r="HRV810" s="1"/>
      <c r="HRW810" s="1"/>
      <c r="HRX810" s="1"/>
      <c r="HRY810" s="1"/>
      <c r="HRZ810" s="1"/>
      <c r="HSA810" s="1"/>
      <c r="HSB810" s="1"/>
      <c r="HSC810" s="1"/>
      <c r="HSD810" s="1"/>
      <c r="HSE810" s="1"/>
      <c r="HSF810" s="41"/>
      <c r="HSG810" s="1"/>
      <c r="HSH810" s="1"/>
      <c r="HSI810" s="1"/>
      <c r="HSJ810" s="1">
        <v>100302.53</v>
      </c>
      <c r="HSK810" s="41">
        <f>13095.23+544.5+254739.02</f>
        <v>268378.75</v>
      </c>
      <c r="HSL810" s="1">
        <f t="shared" ref="HSL810:HTR810" si="711">HSK810-HSJ810</f>
        <v>168076.22</v>
      </c>
      <c r="HSM810" s="1">
        <f t="shared" ref="HSM810:HTS810" si="712">HSJ810+HSL810</f>
        <v>268378.75</v>
      </c>
      <c r="HSN810" s="11">
        <v>15320</v>
      </c>
      <c r="HSO810" s="11">
        <v>60900</v>
      </c>
      <c r="HSP810" s="42" t="s">
        <v>937</v>
      </c>
      <c r="HSQ810" s="7"/>
      <c r="HSR810" s="7"/>
      <c r="HSS810" s="7"/>
      <c r="HST810" s="7"/>
      <c r="HSU810" s="7"/>
      <c r="HSV810" s="1"/>
      <c r="HSW810" s="1"/>
      <c r="HSX810" s="1"/>
      <c r="HSY810" s="1"/>
      <c r="HSZ810" s="7"/>
      <c r="HTA810" s="1"/>
      <c r="HTB810" s="1"/>
      <c r="HTC810" s="1"/>
      <c r="HTD810" s="1"/>
      <c r="HTE810" s="1"/>
      <c r="HTF810" s="1"/>
      <c r="HTG810" s="1"/>
      <c r="HTH810" s="1"/>
      <c r="HTI810" s="1"/>
      <c r="HTJ810" s="1"/>
      <c r="HTK810" s="1"/>
      <c r="HTL810" s="41"/>
      <c r="HTM810" s="1"/>
      <c r="HTN810" s="1"/>
      <c r="HTO810" s="1"/>
      <c r="HTP810" s="1">
        <v>100302.53</v>
      </c>
      <c r="HTQ810" s="41">
        <f>13095.23+544.5+254739.02</f>
        <v>268378.75</v>
      </c>
      <c r="HTR810" s="1">
        <f t="shared" si="711"/>
        <v>168076.22</v>
      </c>
      <c r="HTS810" s="1">
        <f t="shared" si="712"/>
        <v>268378.75</v>
      </c>
      <c r="HTT810" s="11">
        <v>15320</v>
      </c>
      <c r="HTU810" s="11">
        <v>60900</v>
      </c>
      <c r="HTV810" s="42" t="s">
        <v>937</v>
      </c>
      <c r="HTW810" s="7"/>
      <c r="HTX810" s="7"/>
      <c r="HTY810" s="7"/>
      <c r="HTZ810" s="7"/>
      <c r="HUA810" s="7"/>
      <c r="HUB810" s="1"/>
      <c r="HUC810" s="1"/>
      <c r="HUD810" s="1"/>
      <c r="HUE810" s="1"/>
      <c r="HUF810" s="7"/>
      <c r="HUG810" s="1"/>
      <c r="HUH810" s="1"/>
      <c r="HUI810" s="1"/>
      <c r="HUJ810" s="1"/>
      <c r="HUK810" s="1"/>
      <c r="HUL810" s="1"/>
      <c r="HUM810" s="1"/>
      <c r="HUN810" s="1"/>
      <c r="HUO810" s="1"/>
      <c r="HUP810" s="1"/>
      <c r="HUQ810" s="1"/>
      <c r="HUR810" s="41"/>
      <c r="HUS810" s="1"/>
      <c r="HUT810" s="1"/>
      <c r="HUU810" s="1"/>
      <c r="HUV810" s="1">
        <v>100302.53</v>
      </c>
      <c r="HUW810" s="41">
        <f>13095.23+544.5+254739.02</f>
        <v>268378.75</v>
      </c>
      <c r="HUX810" s="1">
        <f t="shared" ref="HUX810:HWD810" si="713">HUW810-HUV810</f>
        <v>168076.22</v>
      </c>
      <c r="HUY810" s="1">
        <f t="shared" ref="HUY810:HWE810" si="714">HUV810+HUX810</f>
        <v>268378.75</v>
      </c>
      <c r="HUZ810" s="11">
        <v>15320</v>
      </c>
      <c r="HVA810" s="11">
        <v>60900</v>
      </c>
      <c r="HVB810" s="42" t="s">
        <v>937</v>
      </c>
      <c r="HVC810" s="7"/>
      <c r="HVD810" s="7"/>
      <c r="HVE810" s="7"/>
      <c r="HVF810" s="7"/>
      <c r="HVG810" s="7"/>
      <c r="HVH810" s="1"/>
      <c r="HVI810" s="1"/>
      <c r="HVJ810" s="1"/>
      <c r="HVK810" s="1"/>
      <c r="HVL810" s="7"/>
      <c r="HVM810" s="1"/>
      <c r="HVN810" s="1"/>
      <c r="HVO810" s="1"/>
      <c r="HVP810" s="1"/>
      <c r="HVQ810" s="1"/>
      <c r="HVR810" s="1"/>
      <c r="HVS810" s="1"/>
      <c r="HVT810" s="1"/>
      <c r="HVU810" s="1"/>
      <c r="HVV810" s="1"/>
      <c r="HVW810" s="1"/>
      <c r="HVX810" s="41"/>
      <c r="HVY810" s="1"/>
      <c r="HVZ810" s="1"/>
      <c r="HWA810" s="1"/>
      <c r="HWB810" s="1">
        <v>100302.53</v>
      </c>
      <c r="HWC810" s="41">
        <f>13095.23+544.5+254739.02</f>
        <v>268378.75</v>
      </c>
      <c r="HWD810" s="1">
        <f t="shared" si="713"/>
        <v>168076.22</v>
      </c>
      <c r="HWE810" s="1">
        <f t="shared" si="714"/>
        <v>268378.75</v>
      </c>
      <c r="HWF810" s="11">
        <v>15320</v>
      </c>
      <c r="HWG810" s="11">
        <v>60900</v>
      </c>
      <c r="HWH810" s="42" t="s">
        <v>937</v>
      </c>
      <c r="HWI810" s="7"/>
      <c r="HWJ810" s="7"/>
      <c r="HWK810" s="7"/>
      <c r="HWL810" s="7"/>
      <c r="HWM810" s="7"/>
      <c r="HWN810" s="1"/>
      <c r="HWO810" s="1"/>
      <c r="HWP810" s="1"/>
      <c r="HWQ810" s="1"/>
      <c r="HWR810" s="7"/>
      <c r="HWS810" s="1"/>
      <c r="HWT810" s="1"/>
      <c r="HWU810" s="1"/>
      <c r="HWV810" s="1"/>
      <c r="HWW810" s="1"/>
      <c r="HWX810" s="1"/>
      <c r="HWY810" s="1"/>
      <c r="HWZ810" s="1"/>
      <c r="HXA810" s="1"/>
      <c r="HXB810" s="1"/>
      <c r="HXC810" s="1"/>
      <c r="HXD810" s="41"/>
      <c r="HXE810" s="1"/>
      <c r="HXF810" s="1"/>
      <c r="HXG810" s="1"/>
      <c r="HXH810" s="1">
        <v>100302.53</v>
      </c>
      <c r="HXI810" s="41">
        <f>13095.23+544.5+254739.02</f>
        <v>268378.75</v>
      </c>
      <c r="HXJ810" s="1">
        <f t="shared" ref="HXJ810:HYP810" si="715">HXI810-HXH810</f>
        <v>168076.22</v>
      </c>
      <c r="HXK810" s="1">
        <f t="shared" ref="HXK810:HYQ810" si="716">HXH810+HXJ810</f>
        <v>268378.75</v>
      </c>
      <c r="HXL810" s="11">
        <v>15320</v>
      </c>
      <c r="HXM810" s="11">
        <v>60900</v>
      </c>
      <c r="HXN810" s="42" t="s">
        <v>937</v>
      </c>
      <c r="HXO810" s="7"/>
      <c r="HXP810" s="7"/>
      <c r="HXQ810" s="7"/>
      <c r="HXR810" s="7"/>
      <c r="HXS810" s="7"/>
      <c r="HXT810" s="1"/>
      <c r="HXU810" s="1"/>
      <c r="HXV810" s="1"/>
      <c r="HXW810" s="1"/>
      <c r="HXX810" s="7"/>
      <c r="HXY810" s="1"/>
      <c r="HXZ810" s="1"/>
      <c r="HYA810" s="1"/>
      <c r="HYB810" s="1"/>
      <c r="HYC810" s="1"/>
      <c r="HYD810" s="1"/>
      <c r="HYE810" s="1"/>
      <c r="HYF810" s="1"/>
      <c r="HYG810" s="1"/>
      <c r="HYH810" s="1"/>
      <c r="HYI810" s="1"/>
      <c r="HYJ810" s="41"/>
      <c r="HYK810" s="1"/>
      <c r="HYL810" s="1"/>
      <c r="HYM810" s="1"/>
      <c r="HYN810" s="1">
        <v>100302.53</v>
      </c>
      <c r="HYO810" s="41">
        <f>13095.23+544.5+254739.02</f>
        <v>268378.75</v>
      </c>
      <c r="HYP810" s="1">
        <f t="shared" si="715"/>
        <v>168076.22</v>
      </c>
      <c r="HYQ810" s="1">
        <f t="shared" si="716"/>
        <v>268378.75</v>
      </c>
      <c r="HYR810" s="11">
        <v>15320</v>
      </c>
      <c r="HYS810" s="11">
        <v>60900</v>
      </c>
      <c r="HYT810" s="42" t="s">
        <v>937</v>
      </c>
      <c r="HYU810" s="7"/>
      <c r="HYV810" s="7"/>
      <c r="HYW810" s="7"/>
      <c r="HYX810" s="7"/>
      <c r="HYY810" s="7"/>
      <c r="HYZ810" s="1"/>
      <c r="HZA810" s="1"/>
      <c r="HZB810" s="1"/>
      <c r="HZC810" s="1"/>
      <c r="HZD810" s="7"/>
      <c r="HZE810" s="1"/>
      <c r="HZF810" s="1"/>
      <c r="HZG810" s="1"/>
      <c r="HZH810" s="1"/>
      <c r="HZI810" s="1"/>
      <c r="HZJ810" s="1"/>
      <c r="HZK810" s="1"/>
      <c r="HZL810" s="1"/>
      <c r="HZM810" s="1"/>
      <c r="HZN810" s="1"/>
      <c r="HZO810" s="1"/>
      <c r="HZP810" s="41"/>
      <c r="HZQ810" s="1"/>
      <c r="HZR810" s="1"/>
      <c r="HZS810" s="1"/>
      <c r="HZT810" s="1">
        <v>100302.53</v>
      </c>
      <c r="HZU810" s="41">
        <f>13095.23+544.5+254739.02</f>
        <v>268378.75</v>
      </c>
      <c r="HZV810" s="1">
        <f t="shared" ref="HZV810:IBB810" si="717">HZU810-HZT810</f>
        <v>168076.22</v>
      </c>
      <c r="HZW810" s="1">
        <f t="shared" ref="HZW810:IBC810" si="718">HZT810+HZV810</f>
        <v>268378.75</v>
      </c>
      <c r="HZX810" s="11">
        <v>15320</v>
      </c>
      <c r="HZY810" s="11">
        <v>60900</v>
      </c>
      <c r="HZZ810" s="42" t="s">
        <v>937</v>
      </c>
      <c r="IAA810" s="7"/>
      <c r="IAB810" s="7"/>
      <c r="IAC810" s="7"/>
      <c r="IAD810" s="7"/>
      <c r="IAE810" s="7"/>
      <c r="IAF810" s="1"/>
      <c r="IAG810" s="1"/>
      <c r="IAH810" s="1"/>
      <c r="IAI810" s="1"/>
      <c r="IAJ810" s="7"/>
      <c r="IAK810" s="1"/>
      <c r="IAL810" s="1"/>
      <c r="IAM810" s="1"/>
      <c r="IAN810" s="1"/>
      <c r="IAO810" s="1"/>
      <c r="IAP810" s="1"/>
      <c r="IAQ810" s="1"/>
      <c r="IAR810" s="1"/>
      <c r="IAS810" s="1"/>
      <c r="IAT810" s="1"/>
      <c r="IAU810" s="1"/>
      <c r="IAV810" s="41"/>
      <c r="IAW810" s="1"/>
      <c r="IAX810" s="1"/>
      <c r="IAY810" s="1"/>
      <c r="IAZ810" s="1">
        <v>100302.53</v>
      </c>
      <c r="IBA810" s="41">
        <f>13095.23+544.5+254739.02</f>
        <v>268378.75</v>
      </c>
      <c r="IBB810" s="1">
        <f t="shared" si="717"/>
        <v>168076.22</v>
      </c>
      <c r="IBC810" s="1">
        <f t="shared" si="718"/>
        <v>268378.75</v>
      </c>
      <c r="IBD810" s="11">
        <v>15320</v>
      </c>
      <c r="IBE810" s="11">
        <v>60900</v>
      </c>
      <c r="IBF810" s="42" t="s">
        <v>937</v>
      </c>
      <c r="IBG810" s="7"/>
      <c r="IBH810" s="7"/>
      <c r="IBI810" s="7"/>
      <c r="IBJ810" s="7"/>
      <c r="IBK810" s="7"/>
      <c r="IBL810" s="1"/>
      <c r="IBM810" s="1"/>
      <c r="IBN810" s="1"/>
      <c r="IBO810" s="1"/>
      <c r="IBP810" s="7"/>
      <c r="IBQ810" s="1"/>
      <c r="IBR810" s="1"/>
      <c r="IBS810" s="1"/>
      <c r="IBT810" s="1"/>
      <c r="IBU810" s="1"/>
      <c r="IBV810" s="1"/>
      <c r="IBW810" s="1"/>
      <c r="IBX810" s="1"/>
      <c r="IBY810" s="1"/>
      <c r="IBZ810" s="1"/>
      <c r="ICA810" s="1"/>
      <c r="ICB810" s="41"/>
      <c r="ICC810" s="1"/>
      <c r="ICD810" s="1"/>
      <c r="ICE810" s="1"/>
      <c r="ICF810" s="1">
        <v>100302.53</v>
      </c>
      <c r="ICG810" s="41">
        <f>13095.23+544.5+254739.02</f>
        <v>268378.75</v>
      </c>
      <c r="ICH810" s="1">
        <f t="shared" ref="ICH810:IDN810" si="719">ICG810-ICF810</f>
        <v>168076.22</v>
      </c>
      <c r="ICI810" s="1">
        <f t="shared" ref="ICI810:IDO810" si="720">ICF810+ICH810</f>
        <v>268378.75</v>
      </c>
      <c r="ICJ810" s="11">
        <v>15320</v>
      </c>
      <c r="ICK810" s="11">
        <v>60900</v>
      </c>
      <c r="ICL810" s="42" t="s">
        <v>937</v>
      </c>
      <c r="ICM810" s="7"/>
      <c r="ICN810" s="7"/>
      <c r="ICO810" s="7"/>
      <c r="ICP810" s="7"/>
      <c r="ICQ810" s="7"/>
      <c r="ICR810" s="1"/>
      <c r="ICS810" s="1"/>
      <c r="ICT810" s="1"/>
      <c r="ICU810" s="1"/>
      <c r="ICV810" s="7"/>
      <c r="ICW810" s="1"/>
      <c r="ICX810" s="1"/>
      <c r="ICY810" s="1"/>
      <c r="ICZ810" s="1"/>
      <c r="IDA810" s="1"/>
      <c r="IDB810" s="1"/>
      <c r="IDC810" s="1"/>
      <c r="IDD810" s="1"/>
      <c r="IDE810" s="1"/>
      <c r="IDF810" s="1"/>
      <c r="IDG810" s="1"/>
      <c r="IDH810" s="41"/>
      <c r="IDI810" s="1"/>
      <c r="IDJ810" s="1"/>
      <c r="IDK810" s="1"/>
      <c r="IDL810" s="1">
        <v>100302.53</v>
      </c>
      <c r="IDM810" s="41">
        <f>13095.23+544.5+254739.02</f>
        <v>268378.75</v>
      </c>
      <c r="IDN810" s="1">
        <f t="shared" si="719"/>
        <v>168076.22</v>
      </c>
      <c r="IDO810" s="1">
        <f t="shared" si="720"/>
        <v>268378.75</v>
      </c>
      <c r="IDP810" s="11">
        <v>15320</v>
      </c>
      <c r="IDQ810" s="11">
        <v>60900</v>
      </c>
      <c r="IDR810" s="42" t="s">
        <v>937</v>
      </c>
      <c r="IDS810" s="7"/>
      <c r="IDT810" s="7"/>
      <c r="IDU810" s="7"/>
      <c r="IDV810" s="7"/>
      <c r="IDW810" s="7"/>
      <c r="IDX810" s="1"/>
      <c r="IDY810" s="1"/>
      <c r="IDZ810" s="1"/>
      <c r="IEA810" s="1"/>
      <c r="IEB810" s="7"/>
      <c r="IEC810" s="1"/>
      <c r="IED810" s="1"/>
      <c r="IEE810" s="1"/>
      <c r="IEF810" s="1"/>
      <c r="IEG810" s="1"/>
      <c r="IEH810" s="1"/>
      <c r="IEI810" s="1"/>
      <c r="IEJ810" s="1"/>
      <c r="IEK810" s="1"/>
      <c r="IEL810" s="1"/>
      <c r="IEM810" s="1"/>
      <c r="IEN810" s="41"/>
      <c r="IEO810" s="1"/>
      <c r="IEP810" s="1"/>
      <c r="IEQ810" s="1"/>
      <c r="IER810" s="1">
        <v>100302.53</v>
      </c>
      <c r="IES810" s="41">
        <f>13095.23+544.5+254739.02</f>
        <v>268378.75</v>
      </c>
      <c r="IET810" s="1">
        <f t="shared" ref="IET810:IFZ810" si="721">IES810-IER810</f>
        <v>168076.22</v>
      </c>
      <c r="IEU810" s="1">
        <f t="shared" ref="IEU810:IGA810" si="722">IER810+IET810</f>
        <v>268378.75</v>
      </c>
      <c r="IEV810" s="11">
        <v>15320</v>
      </c>
      <c r="IEW810" s="11">
        <v>60900</v>
      </c>
      <c r="IEX810" s="42" t="s">
        <v>937</v>
      </c>
      <c r="IEY810" s="7"/>
      <c r="IEZ810" s="7"/>
      <c r="IFA810" s="7"/>
      <c r="IFB810" s="7"/>
      <c r="IFC810" s="7"/>
      <c r="IFD810" s="1"/>
      <c r="IFE810" s="1"/>
      <c r="IFF810" s="1"/>
      <c r="IFG810" s="1"/>
      <c r="IFH810" s="7"/>
      <c r="IFI810" s="1"/>
      <c r="IFJ810" s="1"/>
      <c r="IFK810" s="1"/>
      <c r="IFL810" s="1"/>
      <c r="IFM810" s="1"/>
      <c r="IFN810" s="1"/>
      <c r="IFO810" s="1"/>
      <c r="IFP810" s="1"/>
      <c r="IFQ810" s="1"/>
      <c r="IFR810" s="1"/>
      <c r="IFS810" s="1"/>
      <c r="IFT810" s="41"/>
      <c r="IFU810" s="1"/>
      <c r="IFV810" s="1"/>
      <c r="IFW810" s="1"/>
      <c r="IFX810" s="1">
        <v>100302.53</v>
      </c>
      <c r="IFY810" s="41">
        <f>13095.23+544.5+254739.02</f>
        <v>268378.75</v>
      </c>
      <c r="IFZ810" s="1">
        <f t="shared" si="721"/>
        <v>168076.22</v>
      </c>
      <c r="IGA810" s="1">
        <f t="shared" si="722"/>
        <v>268378.75</v>
      </c>
      <c r="IGB810" s="11">
        <v>15320</v>
      </c>
      <c r="IGC810" s="11">
        <v>60900</v>
      </c>
      <c r="IGD810" s="42" t="s">
        <v>937</v>
      </c>
      <c r="IGE810" s="7"/>
      <c r="IGF810" s="7"/>
      <c r="IGG810" s="7"/>
      <c r="IGH810" s="7"/>
      <c r="IGI810" s="7"/>
      <c r="IGJ810" s="1"/>
      <c r="IGK810" s="1"/>
      <c r="IGL810" s="1"/>
      <c r="IGM810" s="1"/>
      <c r="IGN810" s="7"/>
      <c r="IGO810" s="1"/>
      <c r="IGP810" s="1"/>
      <c r="IGQ810" s="1"/>
      <c r="IGR810" s="1"/>
      <c r="IGS810" s="1"/>
      <c r="IGT810" s="1"/>
      <c r="IGU810" s="1"/>
      <c r="IGV810" s="1"/>
      <c r="IGW810" s="1"/>
      <c r="IGX810" s="1"/>
      <c r="IGY810" s="1"/>
      <c r="IGZ810" s="41"/>
      <c r="IHA810" s="1"/>
      <c r="IHB810" s="1"/>
      <c r="IHC810" s="1"/>
      <c r="IHD810" s="1">
        <v>100302.53</v>
      </c>
      <c r="IHE810" s="41">
        <f>13095.23+544.5+254739.02</f>
        <v>268378.75</v>
      </c>
      <c r="IHF810" s="1">
        <f t="shared" ref="IHF810:IIL810" si="723">IHE810-IHD810</f>
        <v>168076.22</v>
      </c>
      <c r="IHG810" s="1">
        <f t="shared" ref="IHG810:IIM810" si="724">IHD810+IHF810</f>
        <v>268378.75</v>
      </c>
      <c r="IHH810" s="11">
        <v>15320</v>
      </c>
      <c r="IHI810" s="11">
        <v>60900</v>
      </c>
      <c r="IHJ810" s="42" t="s">
        <v>937</v>
      </c>
      <c r="IHK810" s="7"/>
      <c r="IHL810" s="7"/>
      <c r="IHM810" s="7"/>
      <c r="IHN810" s="7"/>
      <c r="IHO810" s="7"/>
      <c r="IHP810" s="1"/>
      <c r="IHQ810" s="1"/>
      <c r="IHR810" s="1"/>
      <c r="IHS810" s="1"/>
      <c r="IHT810" s="7"/>
      <c r="IHU810" s="1"/>
      <c r="IHV810" s="1"/>
      <c r="IHW810" s="1"/>
      <c r="IHX810" s="1"/>
      <c r="IHY810" s="1"/>
      <c r="IHZ810" s="1"/>
      <c r="IIA810" s="1"/>
      <c r="IIB810" s="1"/>
      <c r="IIC810" s="1"/>
      <c r="IID810" s="1"/>
      <c r="IIE810" s="1"/>
      <c r="IIF810" s="41"/>
      <c r="IIG810" s="1"/>
      <c r="IIH810" s="1"/>
      <c r="III810" s="1"/>
      <c r="IIJ810" s="1">
        <v>100302.53</v>
      </c>
      <c r="IIK810" s="41">
        <f>13095.23+544.5+254739.02</f>
        <v>268378.75</v>
      </c>
      <c r="IIL810" s="1">
        <f t="shared" si="723"/>
        <v>168076.22</v>
      </c>
      <c r="IIM810" s="1">
        <f t="shared" si="724"/>
        <v>268378.75</v>
      </c>
      <c r="IIN810" s="11">
        <v>15320</v>
      </c>
      <c r="IIO810" s="11">
        <v>60900</v>
      </c>
      <c r="IIP810" s="42" t="s">
        <v>937</v>
      </c>
      <c r="IIQ810" s="7"/>
      <c r="IIR810" s="7"/>
      <c r="IIS810" s="7"/>
      <c r="IIT810" s="7"/>
      <c r="IIU810" s="7"/>
      <c r="IIV810" s="1"/>
      <c r="IIW810" s="1"/>
      <c r="IIX810" s="1"/>
      <c r="IIY810" s="1"/>
      <c r="IIZ810" s="7"/>
      <c r="IJA810" s="1"/>
      <c r="IJB810" s="1"/>
      <c r="IJC810" s="1"/>
      <c r="IJD810" s="1"/>
      <c r="IJE810" s="1"/>
      <c r="IJF810" s="1"/>
      <c r="IJG810" s="1"/>
      <c r="IJH810" s="1"/>
      <c r="IJI810" s="1"/>
      <c r="IJJ810" s="1"/>
      <c r="IJK810" s="1"/>
      <c r="IJL810" s="41"/>
      <c r="IJM810" s="1"/>
      <c r="IJN810" s="1"/>
      <c r="IJO810" s="1"/>
      <c r="IJP810" s="1">
        <v>100302.53</v>
      </c>
      <c r="IJQ810" s="41">
        <f>13095.23+544.5+254739.02</f>
        <v>268378.75</v>
      </c>
      <c r="IJR810" s="1">
        <f t="shared" ref="IJR810:IKX810" si="725">IJQ810-IJP810</f>
        <v>168076.22</v>
      </c>
      <c r="IJS810" s="1">
        <f t="shared" ref="IJS810:IKY810" si="726">IJP810+IJR810</f>
        <v>268378.75</v>
      </c>
      <c r="IJT810" s="11">
        <v>15320</v>
      </c>
      <c r="IJU810" s="11">
        <v>60900</v>
      </c>
      <c r="IJV810" s="42" t="s">
        <v>937</v>
      </c>
      <c r="IJW810" s="7"/>
      <c r="IJX810" s="7"/>
      <c r="IJY810" s="7"/>
      <c r="IJZ810" s="7"/>
      <c r="IKA810" s="7"/>
      <c r="IKB810" s="1"/>
      <c r="IKC810" s="1"/>
      <c r="IKD810" s="1"/>
      <c r="IKE810" s="1"/>
      <c r="IKF810" s="7"/>
      <c r="IKG810" s="1"/>
      <c r="IKH810" s="1"/>
      <c r="IKI810" s="1"/>
      <c r="IKJ810" s="1"/>
      <c r="IKK810" s="1"/>
      <c r="IKL810" s="1"/>
      <c r="IKM810" s="1"/>
      <c r="IKN810" s="1"/>
      <c r="IKO810" s="1"/>
      <c r="IKP810" s="1"/>
      <c r="IKQ810" s="1"/>
      <c r="IKR810" s="41"/>
      <c r="IKS810" s="1"/>
      <c r="IKT810" s="1"/>
      <c r="IKU810" s="1"/>
      <c r="IKV810" s="1">
        <v>100302.53</v>
      </c>
      <c r="IKW810" s="41">
        <f>13095.23+544.5+254739.02</f>
        <v>268378.75</v>
      </c>
      <c r="IKX810" s="1">
        <f t="shared" si="725"/>
        <v>168076.22</v>
      </c>
      <c r="IKY810" s="1">
        <f t="shared" si="726"/>
        <v>268378.75</v>
      </c>
      <c r="IKZ810" s="11">
        <v>15320</v>
      </c>
      <c r="ILA810" s="11">
        <v>60900</v>
      </c>
      <c r="ILB810" s="42" t="s">
        <v>937</v>
      </c>
      <c r="ILC810" s="7"/>
      <c r="ILD810" s="7"/>
      <c r="ILE810" s="7"/>
      <c r="ILF810" s="7"/>
      <c r="ILG810" s="7"/>
      <c r="ILH810" s="1"/>
      <c r="ILI810" s="1"/>
      <c r="ILJ810" s="1"/>
      <c r="ILK810" s="1"/>
      <c r="ILL810" s="7"/>
      <c r="ILM810" s="1"/>
      <c r="ILN810" s="1"/>
      <c r="ILO810" s="1"/>
      <c r="ILP810" s="1"/>
      <c r="ILQ810" s="1"/>
      <c r="ILR810" s="1"/>
      <c r="ILS810" s="1"/>
      <c r="ILT810" s="1"/>
      <c r="ILU810" s="1"/>
      <c r="ILV810" s="1"/>
      <c r="ILW810" s="1"/>
      <c r="ILX810" s="41"/>
      <c r="ILY810" s="1"/>
      <c r="ILZ810" s="1"/>
      <c r="IMA810" s="1"/>
      <c r="IMB810" s="1">
        <v>100302.53</v>
      </c>
      <c r="IMC810" s="41">
        <f>13095.23+544.5+254739.02</f>
        <v>268378.75</v>
      </c>
      <c r="IMD810" s="1">
        <f t="shared" ref="IMD810:INJ810" si="727">IMC810-IMB810</f>
        <v>168076.22</v>
      </c>
      <c r="IME810" s="1">
        <f t="shared" ref="IME810:INK810" si="728">IMB810+IMD810</f>
        <v>268378.75</v>
      </c>
      <c r="IMF810" s="11">
        <v>15320</v>
      </c>
      <c r="IMG810" s="11">
        <v>60900</v>
      </c>
      <c r="IMH810" s="42" t="s">
        <v>937</v>
      </c>
      <c r="IMI810" s="7"/>
      <c r="IMJ810" s="7"/>
      <c r="IMK810" s="7"/>
      <c r="IML810" s="7"/>
      <c r="IMM810" s="7"/>
      <c r="IMN810" s="1"/>
      <c r="IMO810" s="1"/>
      <c r="IMP810" s="1"/>
      <c r="IMQ810" s="1"/>
      <c r="IMR810" s="7"/>
      <c r="IMS810" s="1"/>
      <c r="IMT810" s="1"/>
      <c r="IMU810" s="1"/>
      <c r="IMV810" s="1"/>
      <c r="IMW810" s="1"/>
      <c r="IMX810" s="1"/>
      <c r="IMY810" s="1"/>
      <c r="IMZ810" s="1"/>
      <c r="INA810" s="1"/>
      <c r="INB810" s="1"/>
      <c r="INC810" s="1"/>
      <c r="IND810" s="41"/>
      <c r="INE810" s="1"/>
      <c r="INF810" s="1"/>
      <c r="ING810" s="1"/>
      <c r="INH810" s="1">
        <v>100302.53</v>
      </c>
      <c r="INI810" s="41">
        <f>13095.23+544.5+254739.02</f>
        <v>268378.75</v>
      </c>
      <c r="INJ810" s="1">
        <f t="shared" si="727"/>
        <v>168076.22</v>
      </c>
      <c r="INK810" s="1">
        <f t="shared" si="728"/>
        <v>268378.75</v>
      </c>
      <c r="INL810" s="11">
        <v>15320</v>
      </c>
      <c r="INM810" s="11">
        <v>60900</v>
      </c>
      <c r="INN810" s="42" t="s">
        <v>937</v>
      </c>
      <c r="INO810" s="7"/>
      <c r="INP810" s="7"/>
      <c r="INQ810" s="7"/>
      <c r="INR810" s="7"/>
      <c r="INS810" s="7"/>
      <c r="INT810" s="1"/>
      <c r="INU810" s="1"/>
      <c r="INV810" s="1"/>
      <c r="INW810" s="1"/>
      <c r="INX810" s="7"/>
      <c r="INY810" s="1"/>
      <c r="INZ810" s="1"/>
      <c r="IOA810" s="1"/>
      <c r="IOB810" s="1"/>
      <c r="IOC810" s="1"/>
      <c r="IOD810" s="1"/>
      <c r="IOE810" s="1"/>
      <c r="IOF810" s="1"/>
      <c r="IOG810" s="1"/>
      <c r="IOH810" s="1"/>
      <c r="IOI810" s="1"/>
      <c r="IOJ810" s="41"/>
      <c r="IOK810" s="1"/>
      <c r="IOL810" s="1"/>
      <c r="IOM810" s="1"/>
      <c r="ION810" s="1">
        <v>100302.53</v>
      </c>
      <c r="IOO810" s="41">
        <f>13095.23+544.5+254739.02</f>
        <v>268378.75</v>
      </c>
      <c r="IOP810" s="1">
        <f t="shared" ref="IOP810:IPV810" si="729">IOO810-ION810</f>
        <v>168076.22</v>
      </c>
      <c r="IOQ810" s="1">
        <f t="shared" ref="IOQ810:IPW810" si="730">ION810+IOP810</f>
        <v>268378.75</v>
      </c>
      <c r="IOR810" s="11">
        <v>15320</v>
      </c>
      <c r="IOS810" s="11">
        <v>60900</v>
      </c>
      <c r="IOT810" s="42" t="s">
        <v>937</v>
      </c>
      <c r="IOU810" s="7"/>
      <c r="IOV810" s="7"/>
      <c r="IOW810" s="7"/>
      <c r="IOX810" s="7"/>
      <c r="IOY810" s="7"/>
      <c r="IOZ810" s="1"/>
      <c r="IPA810" s="1"/>
      <c r="IPB810" s="1"/>
      <c r="IPC810" s="1"/>
      <c r="IPD810" s="7"/>
      <c r="IPE810" s="1"/>
      <c r="IPF810" s="1"/>
      <c r="IPG810" s="1"/>
      <c r="IPH810" s="1"/>
      <c r="IPI810" s="1"/>
      <c r="IPJ810" s="1"/>
      <c r="IPK810" s="1"/>
      <c r="IPL810" s="1"/>
      <c r="IPM810" s="1"/>
      <c r="IPN810" s="1"/>
      <c r="IPO810" s="1"/>
      <c r="IPP810" s="41"/>
      <c r="IPQ810" s="1"/>
      <c r="IPR810" s="1"/>
      <c r="IPS810" s="1"/>
      <c r="IPT810" s="1">
        <v>100302.53</v>
      </c>
      <c r="IPU810" s="41">
        <f>13095.23+544.5+254739.02</f>
        <v>268378.75</v>
      </c>
      <c r="IPV810" s="1">
        <f t="shared" si="729"/>
        <v>168076.22</v>
      </c>
      <c r="IPW810" s="1">
        <f t="shared" si="730"/>
        <v>268378.75</v>
      </c>
      <c r="IPX810" s="11">
        <v>15320</v>
      </c>
      <c r="IPY810" s="11">
        <v>60900</v>
      </c>
      <c r="IPZ810" s="42" t="s">
        <v>937</v>
      </c>
      <c r="IQA810" s="7"/>
      <c r="IQB810" s="7"/>
      <c r="IQC810" s="7"/>
      <c r="IQD810" s="7"/>
      <c r="IQE810" s="7"/>
      <c r="IQF810" s="1"/>
      <c r="IQG810" s="1"/>
      <c r="IQH810" s="1"/>
      <c r="IQI810" s="1"/>
      <c r="IQJ810" s="7"/>
      <c r="IQK810" s="1"/>
      <c r="IQL810" s="1"/>
      <c r="IQM810" s="1"/>
      <c r="IQN810" s="1"/>
      <c r="IQO810" s="1"/>
      <c r="IQP810" s="1"/>
      <c r="IQQ810" s="1"/>
      <c r="IQR810" s="1"/>
      <c r="IQS810" s="1"/>
      <c r="IQT810" s="1"/>
      <c r="IQU810" s="1"/>
      <c r="IQV810" s="41"/>
      <c r="IQW810" s="1"/>
      <c r="IQX810" s="1"/>
      <c r="IQY810" s="1"/>
      <c r="IQZ810" s="1">
        <v>100302.53</v>
      </c>
      <c r="IRA810" s="41">
        <f>13095.23+544.5+254739.02</f>
        <v>268378.75</v>
      </c>
      <c r="IRB810" s="1">
        <f t="shared" ref="IRB810:ISH810" si="731">IRA810-IQZ810</f>
        <v>168076.22</v>
      </c>
      <c r="IRC810" s="1">
        <f t="shared" ref="IRC810:ISI810" si="732">IQZ810+IRB810</f>
        <v>268378.75</v>
      </c>
      <c r="IRD810" s="11">
        <v>15320</v>
      </c>
      <c r="IRE810" s="11">
        <v>60900</v>
      </c>
      <c r="IRF810" s="42" t="s">
        <v>937</v>
      </c>
      <c r="IRG810" s="7"/>
      <c r="IRH810" s="7"/>
      <c r="IRI810" s="7"/>
      <c r="IRJ810" s="7"/>
      <c r="IRK810" s="7"/>
      <c r="IRL810" s="1"/>
      <c r="IRM810" s="1"/>
      <c r="IRN810" s="1"/>
      <c r="IRO810" s="1"/>
      <c r="IRP810" s="7"/>
      <c r="IRQ810" s="1"/>
      <c r="IRR810" s="1"/>
      <c r="IRS810" s="1"/>
      <c r="IRT810" s="1"/>
      <c r="IRU810" s="1"/>
      <c r="IRV810" s="1"/>
      <c r="IRW810" s="1"/>
      <c r="IRX810" s="1"/>
      <c r="IRY810" s="1"/>
      <c r="IRZ810" s="1"/>
      <c r="ISA810" s="1"/>
      <c r="ISB810" s="41"/>
      <c r="ISC810" s="1"/>
      <c r="ISD810" s="1"/>
      <c r="ISE810" s="1"/>
      <c r="ISF810" s="1">
        <v>100302.53</v>
      </c>
      <c r="ISG810" s="41">
        <f>13095.23+544.5+254739.02</f>
        <v>268378.75</v>
      </c>
      <c r="ISH810" s="1">
        <f t="shared" si="731"/>
        <v>168076.22</v>
      </c>
      <c r="ISI810" s="1">
        <f t="shared" si="732"/>
        <v>268378.75</v>
      </c>
      <c r="ISJ810" s="11">
        <v>15320</v>
      </c>
      <c r="ISK810" s="11">
        <v>60900</v>
      </c>
      <c r="ISL810" s="42" t="s">
        <v>937</v>
      </c>
      <c r="ISM810" s="7"/>
      <c r="ISN810" s="7"/>
      <c r="ISO810" s="7"/>
      <c r="ISP810" s="7"/>
      <c r="ISQ810" s="7"/>
      <c r="ISR810" s="1"/>
      <c r="ISS810" s="1"/>
      <c r="IST810" s="1"/>
      <c r="ISU810" s="1"/>
      <c r="ISV810" s="7"/>
      <c r="ISW810" s="1"/>
      <c r="ISX810" s="1"/>
      <c r="ISY810" s="1"/>
      <c r="ISZ810" s="1"/>
      <c r="ITA810" s="1"/>
      <c r="ITB810" s="1"/>
      <c r="ITC810" s="1"/>
      <c r="ITD810" s="1"/>
      <c r="ITE810" s="1"/>
      <c r="ITF810" s="1"/>
      <c r="ITG810" s="1"/>
      <c r="ITH810" s="41"/>
      <c r="ITI810" s="1"/>
      <c r="ITJ810" s="1"/>
      <c r="ITK810" s="1"/>
      <c r="ITL810" s="1">
        <v>100302.53</v>
      </c>
      <c r="ITM810" s="41">
        <f>13095.23+544.5+254739.02</f>
        <v>268378.75</v>
      </c>
      <c r="ITN810" s="1">
        <f t="shared" ref="ITN810:IUT810" si="733">ITM810-ITL810</f>
        <v>168076.22</v>
      </c>
      <c r="ITO810" s="1">
        <f t="shared" ref="ITO810:IUU810" si="734">ITL810+ITN810</f>
        <v>268378.75</v>
      </c>
      <c r="ITP810" s="11">
        <v>15320</v>
      </c>
      <c r="ITQ810" s="11">
        <v>60900</v>
      </c>
      <c r="ITR810" s="42" t="s">
        <v>937</v>
      </c>
      <c r="ITS810" s="7"/>
      <c r="ITT810" s="7"/>
      <c r="ITU810" s="7"/>
      <c r="ITV810" s="7"/>
      <c r="ITW810" s="7"/>
      <c r="ITX810" s="1"/>
      <c r="ITY810" s="1"/>
      <c r="ITZ810" s="1"/>
      <c r="IUA810" s="1"/>
      <c r="IUB810" s="7"/>
      <c r="IUC810" s="1"/>
      <c r="IUD810" s="1"/>
      <c r="IUE810" s="1"/>
      <c r="IUF810" s="1"/>
      <c r="IUG810" s="1"/>
      <c r="IUH810" s="1"/>
      <c r="IUI810" s="1"/>
      <c r="IUJ810" s="1"/>
      <c r="IUK810" s="1"/>
      <c r="IUL810" s="1"/>
      <c r="IUM810" s="1"/>
      <c r="IUN810" s="41"/>
      <c r="IUO810" s="1"/>
      <c r="IUP810" s="1"/>
      <c r="IUQ810" s="1"/>
      <c r="IUR810" s="1">
        <v>100302.53</v>
      </c>
      <c r="IUS810" s="41">
        <f>13095.23+544.5+254739.02</f>
        <v>268378.75</v>
      </c>
      <c r="IUT810" s="1">
        <f t="shared" si="733"/>
        <v>168076.22</v>
      </c>
      <c r="IUU810" s="1">
        <f t="shared" si="734"/>
        <v>268378.75</v>
      </c>
      <c r="IUV810" s="11">
        <v>15320</v>
      </c>
      <c r="IUW810" s="11">
        <v>60900</v>
      </c>
      <c r="IUX810" s="42" t="s">
        <v>937</v>
      </c>
      <c r="IUY810" s="7"/>
      <c r="IUZ810" s="7"/>
      <c r="IVA810" s="7"/>
      <c r="IVB810" s="7"/>
      <c r="IVC810" s="7"/>
      <c r="IVD810" s="1"/>
      <c r="IVE810" s="1"/>
      <c r="IVF810" s="1"/>
      <c r="IVG810" s="1"/>
      <c r="IVH810" s="7"/>
      <c r="IVI810" s="1"/>
      <c r="IVJ810" s="1"/>
      <c r="IVK810" s="1"/>
      <c r="IVL810" s="1"/>
      <c r="IVM810" s="1"/>
      <c r="IVN810" s="1"/>
      <c r="IVO810" s="1"/>
      <c r="IVP810" s="1"/>
      <c r="IVQ810" s="1"/>
      <c r="IVR810" s="1"/>
      <c r="IVS810" s="1"/>
      <c r="IVT810" s="41"/>
      <c r="IVU810" s="1"/>
      <c r="IVV810" s="1"/>
      <c r="IVW810" s="1"/>
      <c r="IVX810" s="1">
        <v>100302.53</v>
      </c>
      <c r="IVY810" s="41">
        <f>13095.23+544.5+254739.02</f>
        <v>268378.75</v>
      </c>
      <c r="IVZ810" s="1">
        <f t="shared" ref="IVZ810:IXF810" si="735">IVY810-IVX810</f>
        <v>168076.22</v>
      </c>
      <c r="IWA810" s="1">
        <f t="shared" ref="IWA810:IXG810" si="736">IVX810+IVZ810</f>
        <v>268378.75</v>
      </c>
      <c r="IWB810" s="11">
        <v>15320</v>
      </c>
      <c r="IWC810" s="11">
        <v>60900</v>
      </c>
      <c r="IWD810" s="42" t="s">
        <v>937</v>
      </c>
      <c r="IWE810" s="7"/>
      <c r="IWF810" s="7"/>
      <c r="IWG810" s="7"/>
      <c r="IWH810" s="7"/>
      <c r="IWI810" s="7"/>
      <c r="IWJ810" s="1"/>
      <c r="IWK810" s="1"/>
      <c r="IWL810" s="1"/>
      <c r="IWM810" s="1"/>
      <c r="IWN810" s="7"/>
      <c r="IWO810" s="1"/>
      <c r="IWP810" s="1"/>
      <c r="IWQ810" s="1"/>
      <c r="IWR810" s="1"/>
      <c r="IWS810" s="1"/>
      <c r="IWT810" s="1"/>
      <c r="IWU810" s="1"/>
      <c r="IWV810" s="1"/>
      <c r="IWW810" s="1"/>
      <c r="IWX810" s="1"/>
      <c r="IWY810" s="1"/>
      <c r="IWZ810" s="41"/>
      <c r="IXA810" s="1"/>
      <c r="IXB810" s="1"/>
      <c r="IXC810" s="1"/>
      <c r="IXD810" s="1">
        <v>100302.53</v>
      </c>
      <c r="IXE810" s="41">
        <f>13095.23+544.5+254739.02</f>
        <v>268378.75</v>
      </c>
      <c r="IXF810" s="1">
        <f t="shared" si="735"/>
        <v>168076.22</v>
      </c>
      <c r="IXG810" s="1">
        <f t="shared" si="736"/>
        <v>268378.75</v>
      </c>
      <c r="IXH810" s="11">
        <v>15320</v>
      </c>
      <c r="IXI810" s="11">
        <v>60900</v>
      </c>
      <c r="IXJ810" s="42" t="s">
        <v>937</v>
      </c>
      <c r="IXK810" s="7"/>
      <c r="IXL810" s="7"/>
      <c r="IXM810" s="7"/>
      <c r="IXN810" s="7"/>
      <c r="IXO810" s="7"/>
      <c r="IXP810" s="1"/>
      <c r="IXQ810" s="1"/>
      <c r="IXR810" s="1"/>
      <c r="IXS810" s="1"/>
      <c r="IXT810" s="7"/>
      <c r="IXU810" s="1"/>
      <c r="IXV810" s="1"/>
      <c r="IXW810" s="1"/>
      <c r="IXX810" s="1"/>
      <c r="IXY810" s="1"/>
      <c r="IXZ810" s="1"/>
      <c r="IYA810" s="1"/>
      <c r="IYB810" s="1"/>
      <c r="IYC810" s="1"/>
      <c r="IYD810" s="1"/>
      <c r="IYE810" s="1"/>
      <c r="IYF810" s="41"/>
      <c r="IYG810" s="1"/>
      <c r="IYH810" s="1"/>
      <c r="IYI810" s="1"/>
      <c r="IYJ810" s="1">
        <v>100302.53</v>
      </c>
      <c r="IYK810" s="41">
        <f>13095.23+544.5+254739.02</f>
        <v>268378.75</v>
      </c>
      <c r="IYL810" s="1">
        <f t="shared" ref="IYL810:IZR810" si="737">IYK810-IYJ810</f>
        <v>168076.22</v>
      </c>
      <c r="IYM810" s="1">
        <f t="shared" ref="IYM810:IZS810" si="738">IYJ810+IYL810</f>
        <v>268378.75</v>
      </c>
      <c r="IYN810" s="11">
        <v>15320</v>
      </c>
      <c r="IYO810" s="11">
        <v>60900</v>
      </c>
      <c r="IYP810" s="42" t="s">
        <v>937</v>
      </c>
      <c r="IYQ810" s="7"/>
      <c r="IYR810" s="7"/>
      <c r="IYS810" s="7"/>
      <c r="IYT810" s="7"/>
      <c r="IYU810" s="7"/>
      <c r="IYV810" s="1"/>
      <c r="IYW810" s="1"/>
      <c r="IYX810" s="1"/>
      <c r="IYY810" s="1"/>
      <c r="IYZ810" s="7"/>
      <c r="IZA810" s="1"/>
      <c r="IZB810" s="1"/>
      <c r="IZC810" s="1"/>
      <c r="IZD810" s="1"/>
      <c r="IZE810" s="1"/>
      <c r="IZF810" s="1"/>
      <c r="IZG810" s="1"/>
      <c r="IZH810" s="1"/>
      <c r="IZI810" s="1"/>
      <c r="IZJ810" s="1"/>
      <c r="IZK810" s="1"/>
      <c r="IZL810" s="41"/>
      <c r="IZM810" s="1"/>
      <c r="IZN810" s="1"/>
      <c r="IZO810" s="1"/>
      <c r="IZP810" s="1">
        <v>100302.53</v>
      </c>
      <c r="IZQ810" s="41">
        <f>13095.23+544.5+254739.02</f>
        <v>268378.75</v>
      </c>
      <c r="IZR810" s="1">
        <f t="shared" si="737"/>
        <v>168076.22</v>
      </c>
      <c r="IZS810" s="1">
        <f t="shared" si="738"/>
        <v>268378.75</v>
      </c>
      <c r="IZT810" s="11">
        <v>15320</v>
      </c>
      <c r="IZU810" s="11">
        <v>60900</v>
      </c>
      <c r="IZV810" s="42" t="s">
        <v>937</v>
      </c>
      <c r="IZW810" s="7"/>
      <c r="IZX810" s="7"/>
      <c r="IZY810" s="7"/>
      <c r="IZZ810" s="7"/>
      <c r="JAA810" s="7"/>
      <c r="JAB810" s="1"/>
      <c r="JAC810" s="1"/>
      <c r="JAD810" s="1"/>
      <c r="JAE810" s="1"/>
      <c r="JAF810" s="7"/>
      <c r="JAG810" s="1"/>
      <c r="JAH810" s="1"/>
      <c r="JAI810" s="1"/>
      <c r="JAJ810" s="1"/>
      <c r="JAK810" s="1"/>
      <c r="JAL810" s="1"/>
      <c r="JAM810" s="1"/>
      <c r="JAN810" s="1"/>
      <c r="JAO810" s="1"/>
      <c r="JAP810" s="1"/>
      <c r="JAQ810" s="1"/>
      <c r="JAR810" s="41"/>
      <c r="JAS810" s="1"/>
      <c r="JAT810" s="1"/>
      <c r="JAU810" s="1"/>
      <c r="JAV810" s="1">
        <v>100302.53</v>
      </c>
      <c r="JAW810" s="41">
        <f>13095.23+544.5+254739.02</f>
        <v>268378.75</v>
      </c>
      <c r="JAX810" s="1">
        <f t="shared" ref="JAX810:JCD810" si="739">JAW810-JAV810</f>
        <v>168076.22</v>
      </c>
      <c r="JAY810" s="1">
        <f t="shared" ref="JAY810:JCE810" si="740">JAV810+JAX810</f>
        <v>268378.75</v>
      </c>
      <c r="JAZ810" s="11">
        <v>15320</v>
      </c>
      <c r="JBA810" s="11">
        <v>60900</v>
      </c>
      <c r="JBB810" s="42" t="s">
        <v>937</v>
      </c>
      <c r="JBC810" s="7"/>
      <c r="JBD810" s="7"/>
      <c r="JBE810" s="7"/>
      <c r="JBF810" s="7"/>
      <c r="JBG810" s="7"/>
      <c r="JBH810" s="1"/>
      <c r="JBI810" s="1"/>
      <c r="JBJ810" s="1"/>
      <c r="JBK810" s="1"/>
      <c r="JBL810" s="7"/>
      <c r="JBM810" s="1"/>
      <c r="JBN810" s="1"/>
      <c r="JBO810" s="1"/>
      <c r="JBP810" s="1"/>
      <c r="JBQ810" s="1"/>
      <c r="JBR810" s="1"/>
      <c r="JBS810" s="1"/>
      <c r="JBT810" s="1"/>
      <c r="JBU810" s="1"/>
      <c r="JBV810" s="1"/>
      <c r="JBW810" s="1"/>
      <c r="JBX810" s="41"/>
      <c r="JBY810" s="1"/>
      <c r="JBZ810" s="1"/>
      <c r="JCA810" s="1"/>
      <c r="JCB810" s="1">
        <v>100302.53</v>
      </c>
      <c r="JCC810" s="41">
        <f>13095.23+544.5+254739.02</f>
        <v>268378.75</v>
      </c>
      <c r="JCD810" s="1">
        <f t="shared" si="739"/>
        <v>168076.22</v>
      </c>
      <c r="JCE810" s="1">
        <f t="shared" si="740"/>
        <v>268378.75</v>
      </c>
      <c r="JCF810" s="11">
        <v>15320</v>
      </c>
      <c r="JCG810" s="11">
        <v>60900</v>
      </c>
      <c r="JCH810" s="42" t="s">
        <v>937</v>
      </c>
      <c r="JCI810" s="7"/>
      <c r="JCJ810" s="7"/>
      <c r="JCK810" s="7"/>
      <c r="JCL810" s="7"/>
      <c r="JCM810" s="7"/>
      <c r="JCN810" s="1"/>
      <c r="JCO810" s="1"/>
      <c r="JCP810" s="1"/>
      <c r="JCQ810" s="1"/>
      <c r="JCR810" s="7"/>
      <c r="JCS810" s="1"/>
      <c r="JCT810" s="1"/>
      <c r="JCU810" s="1"/>
      <c r="JCV810" s="1"/>
      <c r="JCW810" s="1"/>
      <c r="JCX810" s="1"/>
      <c r="JCY810" s="1"/>
      <c r="JCZ810" s="1"/>
      <c r="JDA810" s="1"/>
      <c r="JDB810" s="1"/>
      <c r="JDC810" s="1"/>
      <c r="JDD810" s="41"/>
      <c r="JDE810" s="1"/>
      <c r="JDF810" s="1"/>
      <c r="JDG810" s="1"/>
      <c r="JDH810" s="1">
        <v>100302.53</v>
      </c>
      <c r="JDI810" s="41">
        <f>13095.23+544.5+254739.02</f>
        <v>268378.75</v>
      </c>
      <c r="JDJ810" s="1">
        <f t="shared" ref="JDJ810:JEP810" si="741">JDI810-JDH810</f>
        <v>168076.22</v>
      </c>
      <c r="JDK810" s="1">
        <f t="shared" ref="JDK810:JEQ810" si="742">JDH810+JDJ810</f>
        <v>268378.75</v>
      </c>
      <c r="JDL810" s="11">
        <v>15320</v>
      </c>
      <c r="JDM810" s="11">
        <v>60900</v>
      </c>
      <c r="JDN810" s="42" t="s">
        <v>937</v>
      </c>
      <c r="JDO810" s="7"/>
      <c r="JDP810" s="7"/>
      <c r="JDQ810" s="7"/>
      <c r="JDR810" s="7"/>
      <c r="JDS810" s="7"/>
      <c r="JDT810" s="1"/>
      <c r="JDU810" s="1"/>
      <c r="JDV810" s="1"/>
      <c r="JDW810" s="1"/>
      <c r="JDX810" s="7"/>
      <c r="JDY810" s="1"/>
      <c r="JDZ810" s="1"/>
      <c r="JEA810" s="1"/>
      <c r="JEB810" s="1"/>
      <c r="JEC810" s="1"/>
      <c r="JED810" s="1"/>
      <c r="JEE810" s="1"/>
      <c r="JEF810" s="1"/>
      <c r="JEG810" s="1"/>
      <c r="JEH810" s="1"/>
      <c r="JEI810" s="1"/>
      <c r="JEJ810" s="41"/>
      <c r="JEK810" s="1"/>
      <c r="JEL810" s="1"/>
      <c r="JEM810" s="1"/>
      <c r="JEN810" s="1">
        <v>100302.53</v>
      </c>
      <c r="JEO810" s="41">
        <f>13095.23+544.5+254739.02</f>
        <v>268378.75</v>
      </c>
      <c r="JEP810" s="1">
        <f t="shared" si="741"/>
        <v>168076.22</v>
      </c>
      <c r="JEQ810" s="1">
        <f t="shared" si="742"/>
        <v>268378.75</v>
      </c>
      <c r="JER810" s="11">
        <v>15320</v>
      </c>
      <c r="JES810" s="11">
        <v>60900</v>
      </c>
      <c r="JET810" s="42" t="s">
        <v>937</v>
      </c>
      <c r="JEU810" s="7"/>
      <c r="JEV810" s="7"/>
      <c r="JEW810" s="7"/>
      <c r="JEX810" s="7"/>
      <c r="JEY810" s="7"/>
      <c r="JEZ810" s="1"/>
      <c r="JFA810" s="1"/>
      <c r="JFB810" s="1"/>
      <c r="JFC810" s="1"/>
      <c r="JFD810" s="7"/>
      <c r="JFE810" s="1"/>
      <c r="JFF810" s="1"/>
      <c r="JFG810" s="1"/>
      <c r="JFH810" s="1"/>
      <c r="JFI810" s="1"/>
      <c r="JFJ810" s="1"/>
      <c r="JFK810" s="1"/>
      <c r="JFL810" s="1"/>
      <c r="JFM810" s="1"/>
      <c r="JFN810" s="1"/>
      <c r="JFO810" s="1"/>
      <c r="JFP810" s="41"/>
      <c r="JFQ810" s="1"/>
      <c r="JFR810" s="1"/>
      <c r="JFS810" s="1"/>
      <c r="JFT810" s="1">
        <v>100302.53</v>
      </c>
      <c r="JFU810" s="41">
        <f>13095.23+544.5+254739.02</f>
        <v>268378.75</v>
      </c>
      <c r="JFV810" s="1">
        <f t="shared" ref="JFV810:JHB810" si="743">JFU810-JFT810</f>
        <v>168076.22</v>
      </c>
      <c r="JFW810" s="1">
        <f t="shared" ref="JFW810:JHC810" si="744">JFT810+JFV810</f>
        <v>268378.75</v>
      </c>
      <c r="JFX810" s="11">
        <v>15320</v>
      </c>
      <c r="JFY810" s="11">
        <v>60900</v>
      </c>
      <c r="JFZ810" s="42" t="s">
        <v>937</v>
      </c>
      <c r="JGA810" s="7"/>
      <c r="JGB810" s="7"/>
      <c r="JGC810" s="7"/>
      <c r="JGD810" s="7"/>
      <c r="JGE810" s="7"/>
      <c r="JGF810" s="1"/>
      <c r="JGG810" s="1"/>
      <c r="JGH810" s="1"/>
      <c r="JGI810" s="1"/>
      <c r="JGJ810" s="7"/>
      <c r="JGK810" s="1"/>
      <c r="JGL810" s="1"/>
      <c r="JGM810" s="1"/>
      <c r="JGN810" s="1"/>
      <c r="JGO810" s="1"/>
      <c r="JGP810" s="1"/>
      <c r="JGQ810" s="1"/>
      <c r="JGR810" s="1"/>
      <c r="JGS810" s="1"/>
      <c r="JGT810" s="1"/>
      <c r="JGU810" s="1"/>
      <c r="JGV810" s="41"/>
      <c r="JGW810" s="1"/>
      <c r="JGX810" s="1"/>
      <c r="JGY810" s="1"/>
      <c r="JGZ810" s="1">
        <v>100302.53</v>
      </c>
      <c r="JHA810" s="41">
        <f>13095.23+544.5+254739.02</f>
        <v>268378.75</v>
      </c>
      <c r="JHB810" s="1">
        <f t="shared" si="743"/>
        <v>168076.22</v>
      </c>
      <c r="JHC810" s="1">
        <f t="shared" si="744"/>
        <v>268378.75</v>
      </c>
      <c r="JHD810" s="11">
        <v>15320</v>
      </c>
      <c r="JHE810" s="11">
        <v>60900</v>
      </c>
      <c r="JHF810" s="42" t="s">
        <v>937</v>
      </c>
      <c r="JHG810" s="7"/>
      <c r="JHH810" s="7"/>
      <c r="JHI810" s="7"/>
      <c r="JHJ810" s="7"/>
      <c r="JHK810" s="7"/>
      <c r="JHL810" s="1"/>
      <c r="JHM810" s="1"/>
      <c r="JHN810" s="1"/>
      <c r="JHO810" s="1"/>
      <c r="JHP810" s="7"/>
      <c r="JHQ810" s="1"/>
      <c r="JHR810" s="1"/>
      <c r="JHS810" s="1"/>
      <c r="JHT810" s="1"/>
      <c r="JHU810" s="1"/>
      <c r="JHV810" s="1"/>
      <c r="JHW810" s="1"/>
      <c r="JHX810" s="1"/>
      <c r="JHY810" s="1"/>
      <c r="JHZ810" s="1"/>
      <c r="JIA810" s="1"/>
      <c r="JIB810" s="41"/>
      <c r="JIC810" s="1"/>
      <c r="JID810" s="1"/>
      <c r="JIE810" s="1"/>
      <c r="JIF810" s="1">
        <v>100302.53</v>
      </c>
      <c r="JIG810" s="41">
        <f>13095.23+544.5+254739.02</f>
        <v>268378.75</v>
      </c>
      <c r="JIH810" s="1">
        <f t="shared" ref="JIH810:JJN810" si="745">JIG810-JIF810</f>
        <v>168076.22</v>
      </c>
      <c r="JII810" s="1">
        <f t="shared" ref="JII810:JJO810" si="746">JIF810+JIH810</f>
        <v>268378.75</v>
      </c>
      <c r="JIJ810" s="11">
        <v>15320</v>
      </c>
      <c r="JIK810" s="11">
        <v>60900</v>
      </c>
      <c r="JIL810" s="42" t="s">
        <v>937</v>
      </c>
      <c r="JIM810" s="7"/>
      <c r="JIN810" s="7"/>
      <c r="JIO810" s="7"/>
      <c r="JIP810" s="7"/>
      <c r="JIQ810" s="7"/>
      <c r="JIR810" s="1"/>
      <c r="JIS810" s="1"/>
      <c r="JIT810" s="1"/>
      <c r="JIU810" s="1"/>
      <c r="JIV810" s="7"/>
      <c r="JIW810" s="1"/>
      <c r="JIX810" s="1"/>
      <c r="JIY810" s="1"/>
      <c r="JIZ810" s="1"/>
      <c r="JJA810" s="1"/>
      <c r="JJB810" s="1"/>
      <c r="JJC810" s="1"/>
      <c r="JJD810" s="1"/>
      <c r="JJE810" s="1"/>
      <c r="JJF810" s="1"/>
      <c r="JJG810" s="1"/>
      <c r="JJH810" s="41"/>
      <c r="JJI810" s="1"/>
      <c r="JJJ810" s="1"/>
      <c r="JJK810" s="1"/>
      <c r="JJL810" s="1">
        <v>100302.53</v>
      </c>
      <c r="JJM810" s="41">
        <f>13095.23+544.5+254739.02</f>
        <v>268378.75</v>
      </c>
      <c r="JJN810" s="1">
        <f t="shared" si="745"/>
        <v>168076.22</v>
      </c>
      <c r="JJO810" s="1">
        <f t="shared" si="746"/>
        <v>268378.75</v>
      </c>
      <c r="JJP810" s="11">
        <v>15320</v>
      </c>
      <c r="JJQ810" s="11">
        <v>60900</v>
      </c>
      <c r="JJR810" s="42" t="s">
        <v>937</v>
      </c>
      <c r="JJS810" s="7"/>
      <c r="JJT810" s="7"/>
      <c r="JJU810" s="7"/>
      <c r="JJV810" s="7"/>
      <c r="JJW810" s="7"/>
      <c r="JJX810" s="1"/>
      <c r="JJY810" s="1"/>
      <c r="JJZ810" s="1"/>
      <c r="JKA810" s="1"/>
      <c r="JKB810" s="7"/>
      <c r="JKC810" s="1"/>
      <c r="JKD810" s="1"/>
      <c r="JKE810" s="1"/>
      <c r="JKF810" s="1"/>
      <c r="JKG810" s="1"/>
      <c r="JKH810" s="1"/>
      <c r="JKI810" s="1"/>
      <c r="JKJ810" s="1"/>
      <c r="JKK810" s="1"/>
      <c r="JKL810" s="1"/>
      <c r="JKM810" s="1"/>
      <c r="JKN810" s="41"/>
      <c r="JKO810" s="1"/>
      <c r="JKP810" s="1"/>
      <c r="JKQ810" s="1"/>
      <c r="JKR810" s="1">
        <v>100302.53</v>
      </c>
      <c r="JKS810" s="41">
        <f>13095.23+544.5+254739.02</f>
        <v>268378.75</v>
      </c>
      <c r="JKT810" s="1">
        <f t="shared" ref="JKT810:JLZ810" si="747">JKS810-JKR810</f>
        <v>168076.22</v>
      </c>
      <c r="JKU810" s="1">
        <f t="shared" ref="JKU810:JMA810" si="748">JKR810+JKT810</f>
        <v>268378.75</v>
      </c>
      <c r="JKV810" s="11">
        <v>15320</v>
      </c>
      <c r="JKW810" s="11">
        <v>60900</v>
      </c>
      <c r="JKX810" s="42" t="s">
        <v>937</v>
      </c>
      <c r="JKY810" s="7"/>
      <c r="JKZ810" s="7"/>
      <c r="JLA810" s="7"/>
      <c r="JLB810" s="7"/>
      <c r="JLC810" s="7"/>
      <c r="JLD810" s="1"/>
      <c r="JLE810" s="1"/>
      <c r="JLF810" s="1"/>
      <c r="JLG810" s="1"/>
      <c r="JLH810" s="7"/>
      <c r="JLI810" s="1"/>
      <c r="JLJ810" s="1"/>
      <c r="JLK810" s="1"/>
      <c r="JLL810" s="1"/>
      <c r="JLM810" s="1"/>
      <c r="JLN810" s="1"/>
      <c r="JLO810" s="1"/>
      <c r="JLP810" s="1"/>
      <c r="JLQ810" s="1"/>
      <c r="JLR810" s="1"/>
      <c r="JLS810" s="1"/>
      <c r="JLT810" s="41"/>
      <c r="JLU810" s="1"/>
      <c r="JLV810" s="1"/>
      <c r="JLW810" s="1"/>
      <c r="JLX810" s="1">
        <v>100302.53</v>
      </c>
      <c r="JLY810" s="41">
        <f>13095.23+544.5+254739.02</f>
        <v>268378.75</v>
      </c>
      <c r="JLZ810" s="1">
        <f t="shared" si="747"/>
        <v>168076.22</v>
      </c>
      <c r="JMA810" s="1">
        <f t="shared" si="748"/>
        <v>268378.75</v>
      </c>
      <c r="JMB810" s="11">
        <v>15320</v>
      </c>
      <c r="JMC810" s="11">
        <v>60900</v>
      </c>
      <c r="JMD810" s="42" t="s">
        <v>937</v>
      </c>
      <c r="JME810" s="7"/>
      <c r="JMF810" s="7"/>
      <c r="JMG810" s="7"/>
      <c r="JMH810" s="7"/>
      <c r="JMI810" s="7"/>
      <c r="JMJ810" s="1"/>
      <c r="JMK810" s="1"/>
      <c r="JML810" s="1"/>
      <c r="JMM810" s="1"/>
      <c r="JMN810" s="7"/>
      <c r="JMO810" s="1"/>
      <c r="JMP810" s="1"/>
      <c r="JMQ810" s="1"/>
      <c r="JMR810" s="1"/>
      <c r="JMS810" s="1"/>
      <c r="JMT810" s="1"/>
      <c r="JMU810" s="1"/>
      <c r="JMV810" s="1"/>
      <c r="JMW810" s="1"/>
      <c r="JMX810" s="1"/>
      <c r="JMY810" s="1"/>
      <c r="JMZ810" s="41"/>
      <c r="JNA810" s="1"/>
      <c r="JNB810" s="1"/>
      <c r="JNC810" s="1"/>
      <c r="JND810" s="1">
        <v>100302.53</v>
      </c>
      <c r="JNE810" s="41">
        <f>13095.23+544.5+254739.02</f>
        <v>268378.75</v>
      </c>
      <c r="JNF810" s="1">
        <f t="shared" ref="JNF810:JOL810" si="749">JNE810-JND810</f>
        <v>168076.22</v>
      </c>
      <c r="JNG810" s="1">
        <f t="shared" ref="JNG810:JOM810" si="750">JND810+JNF810</f>
        <v>268378.75</v>
      </c>
      <c r="JNH810" s="11">
        <v>15320</v>
      </c>
      <c r="JNI810" s="11">
        <v>60900</v>
      </c>
      <c r="JNJ810" s="42" t="s">
        <v>937</v>
      </c>
      <c r="JNK810" s="7"/>
      <c r="JNL810" s="7"/>
      <c r="JNM810" s="7"/>
      <c r="JNN810" s="7"/>
      <c r="JNO810" s="7"/>
      <c r="JNP810" s="1"/>
      <c r="JNQ810" s="1"/>
      <c r="JNR810" s="1"/>
      <c r="JNS810" s="1"/>
      <c r="JNT810" s="7"/>
      <c r="JNU810" s="1"/>
      <c r="JNV810" s="1"/>
      <c r="JNW810" s="1"/>
      <c r="JNX810" s="1"/>
      <c r="JNY810" s="1"/>
      <c r="JNZ810" s="1"/>
      <c r="JOA810" s="1"/>
      <c r="JOB810" s="1"/>
      <c r="JOC810" s="1"/>
      <c r="JOD810" s="1"/>
      <c r="JOE810" s="1"/>
      <c r="JOF810" s="41"/>
      <c r="JOG810" s="1"/>
      <c r="JOH810" s="1"/>
      <c r="JOI810" s="1"/>
      <c r="JOJ810" s="1">
        <v>100302.53</v>
      </c>
      <c r="JOK810" s="41">
        <f>13095.23+544.5+254739.02</f>
        <v>268378.75</v>
      </c>
      <c r="JOL810" s="1">
        <f t="shared" si="749"/>
        <v>168076.22</v>
      </c>
      <c r="JOM810" s="1">
        <f t="shared" si="750"/>
        <v>268378.75</v>
      </c>
      <c r="JON810" s="11">
        <v>15320</v>
      </c>
      <c r="JOO810" s="11">
        <v>60900</v>
      </c>
      <c r="JOP810" s="42" t="s">
        <v>937</v>
      </c>
      <c r="JOQ810" s="7"/>
      <c r="JOR810" s="7"/>
      <c r="JOS810" s="7"/>
      <c r="JOT810" s="7"/>
      <c r="JOU810" s="7"/>
      <c r="JOV810" s="1"/>
      <c r="JOW810" s="1"/>
      <c r="JOX810" s="1"/>
      <c r="JOY810" s="1"/>
      <c r="JOZ810" s="7"/>
      <c r="JPA810" s="1"/>
      <c r="JPB810" s="1"/>
      <c r="JPC810" s="1"/>
      <c r="JPD810" s="1"/>
      <c r="JPE810" s="1"/>
      <c r="JPF810" s="1"/>
      <c r="JPG810" s="1"/>
      <c r="JPH810" s="1"/>
      <c r="JPI810" s="1"/>
      <c r="JPJ810" s="1"/>
      <c r="JPK810" s="1"/>
      <c r="JPL810" s="41"/>
      <c r="JPM810" s="1"/>
      <c r="JPN810" s="1"/>
      <c r="JPO810" s="1"/>
      <c r="JPP810" s="1">
        <v>100302.53</v>
      </c>
      <c r="JPQ810" s="41">
        <f>13095.23+544.5+254739.02</f>
        <v>268378.75</v>
      </c>
      <c r="JPR810" s="1">
        <f t="shared" ref="JPR810:JQX810" si="751">JPQ810-JPP810</f>
        <v>168076.22</v>
      </c>
      <c r="JPS810" s="1">
        <f t="shared" ref="JPS810:JQY810" si="752">JPP810+JPR810</f>
        <v>268378.75</v>
      </c>
      <c r="JPT810" s="11">
        <v>15320</v>
      </c>
      <c r="JPU810" s="11">
        <v>60900</v>
      </c>
      <c r="JPV810" s="42" t="s">
        <v>937</v>
      </c>
      <c r="JPW810" s="7"/>
      <c r="JPX810" s="7"/>
      <c r="JPY810" s="7"/>
      <c r="JPZ810" s="7"/>
      <c r="JQA810" s="7"/>
      <c r="JQB810" s="1"/>
      <c r="JQC810" s="1"/>
      <c r="JQD810" s="1"/>
      <c r="JQE810" s="1"/>
      <c r="JQF810" s="7"/>
      <c r="JQG810" s="1"/>
      <c r="JQH810" s="1"/>
      <c r="JQI810" s="1"/>
      <c r="JQJ810" s="1"/>
      <c r="JQK810" s="1"/>
      <c r="JQL810" s="1"/>
      <c r="JQM810" s="1"/>
      <c r="JQN810" s="1"/>
      <c r="JQO810" s="1"/>
      <c r="JQP810" s="1"/>
      <c r="JQQ810" s="1"/>
      <c r="JQR810" s="41"/>
      <c r="JQS810" s="1"/>
      <c r="JQT810" s="1"/>
      <c r="JQU810" s="1"/>
      <c r="JQV810" s="1">
        <v>100302.53</v>
      </c>
      <c r="JQW810" s="41">
        <f>13095.23+544.5+254739.02</f>
        <v>268378.75</v>
      </c>
      <c r="JQX810" s="1">
        <f t="shared" si="751"/>
        <v>168076.22</v>
      </c>
      <c r="JQY810" s="1">
        <f t="shared" si="752"/>
        <v>268378.75</v>
      </c>
      <c r="JQZ810" s="11">
        <v>15320</v>
      </c>
      <c r="JRA810" s="11">
        <v>60900</v>
      </c>
      <c r="JRB810" s="42" t="s">
        <v>937</v>
      </c>
      <c r="JRC810" s="7"/>
      <c r="JRD810" s="7"/>
      <c r="JRE810" s="7"/>
      <c r="JRF810" s="7"/>
      <c r="JRG810" s="7"/>
      <c r="JRH810" s="1"/>
      <c r="JRI810" s="1"/>
      <c r="JRJ810" s="1"/>
      <c r="JRK810" s="1"/>
      <c r="JRL810" s="7"/>
      <c r="JRM810" s="1"/>
      <c r="JRN810" s="1"/>
      <c r="JRO810" s="1"/>
      <c r="JRP810" s="1"/>
      <c r="JRQ810" s="1"/>
      <c r="JRR810" s="1"/>
      <c r="JRS810" s="1"/>
      <c r="JRT810" s="1"/>
      <c r="JRU810" s="1"/>
      <c r="JRV810" s="1"/>
      <c r="JRW810" s="1"/>
      <c r="JRX810" s="41"/>
      <c r="JRY810" s="1"/>
      <c r="JRZ810" s="1"/>
      <c r="JSA810" s="1"/>
      <c r="JSB810" s="1">
        <v>100302.53</v>
      </c>
      <c r="JSC810" s="41">
        <f>13095.23+544.5+254739.02</f>
        <v>268378.75</v>
      </c>
      <c r="JSD810" s="1">
        <f t="shared" ref="JSD810:JTJ810" si="753">JSC810-JSB810</f>
        <v>168076.22</v>
      </c>
      <c r="JSE810" s="1">
        <f t="shared" ref="JSE810:JTK810" si="754">JSB810+JSD810</f>
        <v>268378.75</v>
      </c>
      <c r="JSF810" s="11">
        <v>15320</v>
      </c>
      <c r="JSG810" s="11">
        <v>60900</v>
      </c>
      <c r="JSH810" s="42" t="s">
        <v>937</v>
      </c>
      <c r="JSI810" s="7"/>
      <c r="JSJ810" s="7"/>
      <c r="JSK810" s="7"/>
      <c r="JSL810" s="7"/>
      <c r="JSM810" s="7"/>
      <c r="JSN810" s="1"/>
      <c r="JSO810" s="1"/>
      <c r="JSP810" s="1"/>
      <c r="JSQ810" s="1"/>
      <c r="JSR810" s="7"/>
      <c r="JSS810" s="1"/>
      <c r="JST810" s="1"/>
      <c r="JSU810" s="1"/>
      <c r="JSV810" s="1"/>
      <c r="JSW810" s="1"/>
      <c r="JSX810" s="1"/>
      <c r="JSY810" s="1"/>
      <c r="JSZ810" s="1"/>
      <c r="JTA810" s="1"/>
      <c r="JTB810" s="1"/>
      <c r="JTC810" s="1"/>
      <c r="JTD810" s="41"/>
      <c r="JTE810" s="1"/>
      <c r="JTF810" s="1"/>
      <c r="JTG810" s="1"/>
      <c r="JTH810" s="1">
        <v>100302.53</v>
      </c>
      <c r="JTI810" s="41">
        <f>13095.23+544.5+254739.02</f>
        <v>268378.75</v>
      </c>
      <c r="JTJ810" s="1">
        <f t="shared" si="753"/>
        <v>168076.22</v>
      </c>
      <c r="JTK810" s="1">
        <f t="shared" si="754"/>
        <v>268378.75</v>
      </c>
      <c r="JTL810" s="11">
        <v>15320</v>
      </c>
      <c r="JTM810" s="11">
        <v>60900</v>
      </c>
      <c r="JTN810" s="42" t="s">
        <v>937</v>
      </c>
      <c r="JTO810" s="7"/>
      <c r="JTP810" s="7"/>
      <c r="JTQ810" s="7"/>
      <c r="JTR810" s="7"/>
      <c r="JTS810" s="7"/>
      <c r="JTT810" s="1"/>
      <c r="JTU810" s="1"/>
      <c r="JTV810" s="1"/>
      <c r="JTW810" s="1"/>
      <c r="JTX810" s="7"/>
      <c r="JTY810" s="1"/>
      <c r="JTZ810" s="1"/>
      <c r="JUA810" s="1"/>
      <c r="JUB810" s="1"/>
      <c r="JUC810" s="1"/>
      <c r="JUD810" s="1"/>
      <c r="JUE810" s="1"/>
      <c r="JUF810" s="1"/>
      <c r="JUG810" s="1"/>
      <c r="JUH810" s="1"/>
      <c r="JUI810" s="1"/>
      <c r="JUJ810" s="41"/>
      <c r="JUK810" s="1"/>
      <c r="JUL810" s="1"/>
      <c r="JUM810" s="1"/>
      <c r="JUN810" s="1">
        <v>100302.53</v>
      </c>
      <c r="JUO810" s="41">
        <f>13095.23+544.5+254739.02</f>
        <v>268378.75</v>
      </c>
      <c r="JUP810" s="1">
        <f t="shared" ref="JUP810:JVV810" si="755">JUO810-JUN810</f>
        <v>168076.22</v>
      </c>
      <c r="JUQ810" s="1">
        <f t="shared" ref="JUQ810:JVW810" si="756">JUN810+JUP810</f>
        <v>268378.75</v>
      </c>
      <c r="JUR810" s="11">
        <v>15320</v>
      </c>
      <c r="JUS810" s="11">
        <v>60900</v>
      </c>
      <c r="JUT810" s="42" t="s">
        <v>937</v>
      </c>
      <c r="JUU810" s="7"/>
      <c r="JUV810" s="7"/>
      <c r="JUW810" s="7"/>
      <c r="JUX810" s="7"/>
      <c r="JUY810" s="7"/>
      <c r="JUZ810" s="1"/>
      <c r="JVA810" s="1"/>
      <c r="JVB810" s="1"/>
      <c r="JVC810" s="1"/>
      <c r="JVD810" s="7"/>
      <c r="JVE810" s="1"/>
      <c r="JVF810" s="1"/>
      <c r="JVG810" s="1"/>
      <c r="JVH810" s="1"/>
      <c r="JVI810" s="1"/>
      <c r="JVJ810" s="1"/>
      <c r="JVK810" s="1"/>
      <c r="JVL810" s="1"/>
      <c r="JVM810" s="1"/>
      <c r="JVN810" s="1"/>
      <c r="JVO810" s="1"/>
      <c r="JVP810" s="41"/>
      <c r="JVQ810" s="1"/>
      <c r="JVR810" s="1"/>
      <c r="JVS810" s="1"/>
      <c r="JVT810" s="1">
        <v>100302.53</v>
      </c>
      <c r="JVU810" s="41">
        <f>13095.23+544.5+254739.02</f>
        <v>268378.75</v>
      </c>
      <c r="JVV810" s="1">
        <f t="shared" si="755"/>
        <v>168076.22</v>
      </c>
      <c r="JVW810" s="1">
        <f t="shared" si="756"/>
        <v>268378.75</v>
      </c>
      <c r="JVX810" s="11">
        <v>15320</v>
      </c>
      <c r="JVY810" s="11">
        <v>60900</v>
      </c>
      <c r="JVZ810" s="42" t="s">
        <v>937</v>
      </c>
      <c r="JWA810" s="7"/>
      <c r="JWB810" s="7"/>
      <c r="JWC810" s="7"/>
      <c r="JWD810" s="7"/>
      <c r="JWE810" s="7"/>
      <c r="JWF810" s="1"/>
      <c r="JWG810" s="1"/>
      <c r="JWH810" s="1"/>
      <c r="JWI810" s="1"/>
      <c r="JWJ810" s="7"/>
      <c r="JWK810" s="1"/>
      <c r="JWL810" s="1"/>
      <c r="JWM810" s="1"/>
      <c r="JWN810" s="1"/>
      <c r="JWO810" s="1"/>
      <c r="JWP810" s="1"/>
      <c r="JWQ810" s="1"/>
      <c r="JWR810" s="1"/>
      <c r="JWS810" s="1"/>
      <c r="JWT810" s="1"/>
      <c r="JWU810" s="1"/>
      <c r="JWV810" s="41"/>
      <c r="JWW810" s="1"/>
      <c r="JWX810" s="1"/>
      <c r="JWY810" s="1"/>
      <c r="JWZ810" s="1">
        <v>100302.53</v>
      </c>
      <c r="JXA810" s="41">
        <f>13095.23+544.5+254739.02</f>
        <v>268378.75</v>
      </c>
      <c r="JXB810" s="1">
        <f t="shared" ref="JXB810:JYH810" si="757">JXA810-JWZ810</f>
        <v>168076.22</v>
      </c>
      <c r="JXC810" s="1">
        <f t="shared" ref="JXC810:JYI810" si="758">JWZ810+JXB810</f>
        <v>268378.75</v>
      </c>
      <c r="JXD810" s="11">
        <v>15320</v>
      </c>
      <c r="JXE810" s="11">
        <v>60900</v>
      </c>
      <c r="JXF810" s="42" t="s">
        <v>937</v>
      </c>
      <c r="JXG810" s="7"/>
      <c r="JXH810" s="7"/>
      <c r="JXI810" s="7"/>
      <c r="JXJ810" s="7"/>
      <c r="JXK810" s="7"/>
      <c r="JXL810" s="1"/>
      <c r="JXM810" s="1"/>
      <c r="JXN810" s="1"/>
      <c r="JXO810" s="1"/>
      <c r="JXP810" s="7"/>
      <c r="JXQ810" s="1"/>
      <c r="JXR810" s="1"/>
      <c r="JXS810" s="1"/>
      <c r="JXT810" s="1"/>
      <c r="JXU810" s="1"/>
      <c r="JXV810" s="1"/>
      <c r="JXW810" s="1"/>
      <c r="JXX810" s="1"/>
      <c r="JXY810" s="1"/>
      <c r="JXZ810" s="1"/>
      <c r="JYA810" s="1"/>
      <c r="JYB810" s="41"/>
      <c r="JYC810" s="1"/>
      <c r="JYD810" s="1"/>
      <c r="JYE810" s="1"/>
      <c r="JYF810" s="1">
        <v>100302.53</v>
      </c>
      <c r="JYG810" s="41">
        <f>13095.23+544.5+254739.02</f>
        <v>268378.75</v>
      </c>
      <c r="JYH810" s="1">
        <f t="shared" si="757"/>
        <v>168076.22</v>
      </c>
      <c r="JYI810" s="1">
        <f t="shared" si="758"/>
        <v>268378.75</v>
      </c>
      <c r="JYJ810" s="11">
        <v>15320</v>
      </c>
      <c r="JYK810" s="11">
        <v>60900</v>
      </c>
      <c r="JYL810" s="42" t="s">
        <v>937</v>
      </c>
      <c r="JYM810" s="7"/>
      <c r="JYN810" s="7"/>
      <c r="JYO810" s="7"/>
      <c r="JYP810" s="7"/>
      <c r="JYQ810" s="7"/>
      <c r="JYR810" s="1"/>
      <c r="JYS810" s="1"/>
      <c r="JYT810" s="1"/>
      <c r="JYU810" s="1"/>
      <c r="JYV810" s="7"/>
      <c r="JYW810" s="1"/>
      <c r="JYX810" s="1"/>
      <c r="JYY810" s="1"/>
      <c r="JYZ810" s="1"/>
      <c r="JZA810" s="1"/>
      <c r="JZB810" s="1"/>
      <c r="JZC810" s="1"/>
      <c r="JZD810" s="1"/>
      <c r="JZE810" s="1"/>
      <c r="JZF810" s="1"/>
      <c r="JZG810" s="1"/>
      <c r="JZH810" s="41"/>
      <c r="JZI810" s="1"/>
      <c r="JZJ810" s="1"/>
      <c r="JZK810" s="1"/>
      <c r="JZL810" s="1">
        <v>100302.53</v>
      </c>
      <c r="JZM810" s="41">
        <f>13095.23+544.5+254739.02</f>
        <v>268378.75</v>
      </c>
      <c r="JZN810" s="1">
        <f t="shared" ref="JZN810:KAT810" si="759">JZM810-JZL810</f>
        <v>168076.22</v>
      </c>
      <c r="JZO810" s="1">
        <f t="shared" ref="JZO810:KAU810" si="760">JZL810+JZN810</f>
        <v>268378.75</v>
      </c>
      <c r="JZP810" s="11">
        <v>15320</v>
      </c>
      <c r="JZQ810" s="11">
        <v>60900</v>
      </c>
      <c r="JZR810" s="42" t="s">
        <v>937</v>
      </c>
      <c r="JZS810" s="7"/>
      <c r="JZT810" s="7"/>
      <c r="JZU810" s="7"/>
      <c r="JZV810" s="7"/>
      <c r="JZW810" s="7"/>
      <c r="JZX810" s="1"/>
      <c r="JZY810" s="1"/>
      <c r="JZZ810" s="1"/>
      <c r="KAA810" s="1"/>
      <c r="KAB810" s="7"/>
      <c r="KAC810" s="1"/>
      <c r="KAD810" s="1"/>
      <c r="KAE810" s="1"/>
      <c r="KAF810" s="1"/>
      <c r="KAG810" s="1"/>
      <c r="KAH810" s="1"/>
      <c r="KAI810" s="1"/>
      <c r="KAJ810" s="1"/>
      <c r="KAK810" s="1"/>
      <c r="KAL810" s="1"/>
      <c r="KAM810" s="1"/>
      <c r="KAN810" s="41"/>
      <c r="KAO810" s="1"/>
      <c r="KAP810" s="1"/>
      <c r="KAQ810" s="1"/>
      <c r="KAR810" s="1">
        <v>100302.53</v>
      </c>
      <c r="KAS810" s="41">
        <f>13095.23+544.5+254739.02</f>
        <v>268378.75</v>
      </c>
      <c r="KAT810" s="1">
        <f t="shared" si="759"/>
        <v>168076.22</v>
      </c>
      <c r="KAU810" s="1">
        <f t="shared" si="760"/>
        <v>268378.75</v>
      </c>
      <c r="KAV810" s="11">
        <v>15320</v>
      </c>
      <c r="KAW810" s="11">
        <v>60900</v>
      </c>
      <c r="KAX810" s="42" t="s">
        <v>937</v>
      </c>
      <c r="KAY810" s="7"/>
      <c r="KAZ810" s="7"/>
      <c r="KBA810" s="7"/>
      <c r="KBB810" s="7"/>
      <c r="KBC810" s="7"/>
      <c r="KBD810" s="1"/>
      <c r="KBE810" s="1"/>
      <c r="KBF810" s="1"/>
      <c r="KBG810" s="1"/>
      <c r="KBH810" s="7"/>
      <c r="KBI810" s="1"/>
      <c r="KBJ810" s="1"/>
      <c r="KBK810" s="1"/>
      <c r="KBL810" s="1"/>
      <c r="KBM810" s="1"/>
      <c r="KBN810" s="1"/>
      <c r="KBO810" s="1"/>
      <c r="KBP810" s="1"/>
      <c r="KBQ810" s="1"/>
      <c r="KBR810" s="1"/>
      <c r="KBS810" s="1"/>
      <c r="KBT810" s="41"/>
      <c r="KBU810" s="1"/>
      <c r="KBV810" s="1"/>
      <c r="KBW810" s="1"/>
      <c r="KBX810" s="1">
        <v>100302.53</v>
      </c>
      <c r="KBY810" s="41">
        <f>13095.23+544.5+254739.02</f>
        <v>268378.75</v>
      </c>
      <c r="KBZ810" s="1">
        <f t="shared" ref="KBZ810:KDF810" si="761">KBY810-KBX810</f>
        <v>168076.22</v>
      </c>
      <c r="KCA810" s="1">
        <f t="shared" ref="KCA810:KDG810" si="762">KBX810+KBZ810</f>
        <v>268378.75</v>
      </c>
      <c r="KCB810" s="11">
        <v>15320</v>
      </c>
      <c r="KCC810" s="11">
        <v>60900</v>
      </c>
      <c r="KCD810" s="42" t="s">
        <v>937</v>
      </c>
      <c r="KCE810" s="7"/>
      <c r="KCF810" s="7"/>
      <c r="KCG810" s="7"/>
      <c r="KCH810" s="7"/>
      <c r="KCI810" s="7"/>
      <c r="KCJ810" s="1"/>
      <c r="KCK810" s="1"/>
      <c r="KCL810" s="1"/>
      <c r="KCM810" s="1"/>
      <c r="KCN810" s="7"/>
      <c r="KCO810" s="1"/>
      <c r="KCP810" s="1"/>
      <c r="KCQ810" s="1"/>
      <c r="KCR810" s="1"/>
      <c r="KCS810" s="1"/>
      <c r="KCT810" s="1"/>
      <c r="KCU810" s="1"/>
      <c r="KCV810" s="1"/>
      <c r="KCW810" s="1"/>
      <c r="KCX810" s="1"/>
      <c r="KCY810" s="1"/>
      <c r="KCZ810" s="41"/>
      <c r="KDA810" s="1"/>
      <c r="KDB810" s="1"/>
      <c r="KDC810" s="1"/>
      <c r="KDD810" s="1">
        <v>100302.53</v>
      </c>
      <c r="KDE810" s="41">
        <f>13095.23+544.5+254739.02</f>
        <v>268378.75</v>
      </c>
      <c r="KDF810" s="1">
        <f t="shared" si="761"/>
        <v>168076.22</v>
      </c>
      <c r="KDG810" s="1">
        <f t="shared" si="762"/>
        <v>268378.75</v>
      </c>
      <c r="KDH810" s="11">
        <v>15320</v>
      </c>
      <c r="KDI810" s="11">
        <v>60900</v>
      </c>
      <c r="KDJ810" s="42" t="s">
        <v>937</v>
      </c>
      <c r="KDK810" s="7"/>
      <c r="KDL810" s="7"/>
      <c r="KDM810" s="7"/>
      <c r="KDN810" s="7"/>
      <c r="KDO810" s="7"/>
      <c r="KDP810" s="1"/>
      <c r="KDQ810" s="1"/>
      <c r="KDR810" s="1"/>
      <c r="KDS810" s="1"/>
      <c r="KDT810" s="7"/>
      <c r="KDU810" s="1"/>
      <c r="KDV810" s="1"/>
      <c r="KDW810" s="1"/>
      <c r="KDX810" s="1"/>
      <c r="KDY810" s="1"/>
      <c r="KDZ810" s="1"/>
      <c r="KEA810" s="1"/>
      <c r="KEB810" s="1"/>
      <c r="KEC810" s="1"/>
      <c r="KED810" s="1"/>
      <c r="KEE810" s="1"/>
      <c r="KEF810" s="41"/>
      <c r="KEG810" s="1"/>
      <c r="KEH810" s="1"/>
      <c r="KEI810" s="1"/>
      <c r="KEJ810" s="1">
        <v>100302.53</v>
      </c>
      <c r="KEK810" s="41">
        <f>13095.23+544.5+254739.02</f>
        <v>268378.75</v>
      </c>
      <c r="KEL810" s="1">
        <f t="shared" ref="KEL810:KFR810" si="763">KEK810-KEJ810</f>
        <v>168076.22</v>
      </c>
      <c r="KEM810" s="1">
        <f t="shared" ref="KEM810:KFS810" si="764">KEJ810+KEL810</f>
        <v>268378.75</v>
      </c>
      <c r="KEN810" s="11">
        <v>15320</v>
      </c>
      <c r="KEO810" s="11">
        <v>60900</v>
      </c>
      <c r="KEP810" s="42" t="s">
        <v>937</v>
      </c>
      <c r="KEQ810" s="7"/>
      <c r="KER810" s="7"/>
      <c r="KES810" s="7"/>
      <c r="KET810" s="7"/>
      <c r="KEU810" s="7"/>
      <c r="KEV810" s="1"/>
      <c r="KEW810" s="1"/>
      <c r="KEX810" s="1"/>
      <c r="KEY810" s="1"/>
      <c r="KEZ810" s="7"/>
      <c r="KFA810" s="1"/>
      <c r="KFB810" s="1"/>
      <c r="KFC810" s="1"/>
      <c r="KFD810" s="1"/>
      <c r="KFE810" s="1"/>
      <c r="KFF810" s="1"/>
      <c r="KFG810" s="1"/>
      <c r="KFH810" s="1"/>
      <c r="KFI810" s="1"/>
      <c r="KFJ810" s="1"/>
      <c r="KFK810" s="1"/>
      <c r="KFL810" s="41"/>
      <c r="KFM810" s="1"/>
      <c r="KFN810" s="1"/>
      <c r="KFO810" s="1"/>
      <c r="KFP810" s="1">
        <v>100302.53</v>
      </c>
      <c r="KFQ810" s="41">
        <f>13095.23+544.5+254739.02</f>
        <v>268378.75</v>
      </c>
      <c r="KFR810" s="1">
        <f t="shared" si="763"/>
        <v>168076.22</v>
      </c>
      <c r="KFS810" s="1">
        <f t="shared" si="764"/>
        <v>268378.75</v>
      </c>
      <c r="KFT810" s="11">
        <v>15320</v>
      </c>
      <c r="KFU810" s="11">
        <v>60900</v>
      </c>
      <c r="KFV810" s="42" t="s">
        <v>937</v>
      </c>
      <c r="KFW810" s="7"/>
      <c r="KFX810" s="7"/>
      <c r="KFY810" s="7"/>
      <c r="KFZ810" s="7"/>
      <c r="KGA810" s="7"/>
      <c r="KGB810" s="1"/>
      <c r="KGC810" s="1"/>
      <c r="KGD810" s="1"/>
      <c r="KGE810" s="1"/>
      <c r="KGF810" s="7"/>
      <c r="KGG810" s="1"/>
      <c r="KGH810" s="1"/>
      <c r="KGI810" s="1"/>
      <c r="KGJ810" s="1"/>
      <c r="KGK810" s="1"/>
      <c r="KGL810" s="1"/>
      <c r="KGM810" s="1"/>
      <c r="KGN810" s="1"/>
      <c r="KGO810" s="1"/>
      <c r="KGP810" s="1"/>
      <c r="KGQ810" s="1"/>
      <c r="KGR810" s="41"/>
      <c r="KGS810" s="1"/>
      <c r="KGT810" s="1"/>
      <c r="KGU810" s="1"/>
      <c r="KGV810" s="1">
        <v>100302.53</v>
      </c>
      <c r="KGW810" s="41">
        <f>13095.23+544.5+254739.02</f>
        <v>268378.75</v>
      </c>
      <c r="KGX810" s="1">
        <f t="shared" ref="KGX810:KID810" si="765">KGW810-KGV810</f>
        <v>168076.22</v>
      </c>
      <c r="KGY810" s="1">
        <f t="shared" ref="KGY810:KIE810" si="766">KGV810+KGX810</f>
        <v>268378.75</v>
      </c>
      <c r="KGZ810" s="11">
        <v>15320</v>
      </c>
      <c r="KHA810" s="11">
        <v>60900</v>
      </c>
      <c r="KHB810" s="42" t="s">
        <v>937</v>
      </c>
      <c r="KHC810" s="7"/>
      <c r="KHD810" s="7"/>
      <c r="KHE810" s="7"/>
      <c r="KHF810" s="7"/>
      <c r="KHG810" s="7"/>
      <c r="KHH810" s="1"/>
      <c r="KHI810" s="1"/>
      <c r="KHJ810" s="1"/>
      <c r="KHK810" s="1"/>
      <c r="KHL810" s="7"/>
      <c r="KHM810" s="1"/>
      <c r="KHN810" s="1"/>
      <c r="KHO810" s="1"/>
      <c r="KHP810" s="1"/>
      <c r="KHQ810" s="1"/>
      <c r="KHR810" s="1"/>
      <c r="KHS810" s="1"/>
      <c r="KHT810" s="1"/>
      <c r="KHU810" s="1"/>
      <c r="KHV810" s="1"/>
      <c r="KHW810" s="1"/>
      <c r="KHX810" s="41"/>
      <c r="KHY810" s="1"/>
      <c r="KHZ810" s="1"/>
      <c r="KIA810" s="1"/>
      <c r="KIB810" s="1">
        <v>100302.53</v>
      </c>
      <c r="KIC810" s="41">
        <f>13095.23+544.5+254739.02</f>
        <v>268378.75</v>
      </c>
      <c r="KID810" s="1">
        <f t="shared" si="765"/>
        <v>168076.22</v>
      </c>
      <c r="KIE810" s="1">
        <f t="shared" si="766"/>
        <v>268378.75</v>
      </c>
      <c r="KIF810" s="11">
        <v>15320</v>
      </c>
      <c r="KIG810" s="11">
        <v>60900</v>
      </c>
      <c r="KIH810" s="42" t="s">
        <v>937</v>
      </c>
      <c r="KII810" s="7"/>
      <c r="KIJ810" s="7"/>
      <c r="KIK810" s="7"/>
      <c r="KIL810" s="7"/>
      <c r="KIM810" s="7"/>
      <c r="KIN810" s="1"/>
      <c r="KIO810" s="1"/>
      <c r="KIP810" s="1"/>
      <c r="KIQ810" s="1"/>
      <c r="KIR810" s="7"/>
      <c r="KIS810" s="1"/>
      <c r="KIT810" s="1"/>
      <c r="KIU810" s="1"/>
      <c r="KIV810" s="1"/>
      <c r="KIW810" s="1"/>
      <c r="KIX810" s="1"/>
      <c r="KIY810" s="1"/>
      <c r="KIZ810" s="1"/>
      <c r="KJA810" s="1"/>
      <c r="KJB810" s="1"/>
      <c r="KJC810" s="1"/>
      <c r="KJD810" s="41"/>
      <c r="KJE810" s="1"/>
      <c r="KJF810" s="1"/>
      <c r="KJG810" s="1"/>
      <c r="KJH810" s="1">
        <v>100302.53</v>
      </c>
      <c r="KJI810" s="41">
        <f>13095.23+544.5+254739.02</f>
        <v>268378.75</v>
      </c>
      <c r="KJJ810" s="1">
        <f t="shared" ref="KJJ810:KKP810" si="767">KJI810-KJH810</f>
        <v>168076.22</v>
      </c>
      <c r="KJK810" s="1">
        <f t="shared" ref="KJK810:KKQ810" si="768">KJH810+KJJ810</f>
        <v>268378.75</v>
      </c>
      <c r="KJL810" s="11">
        <v>15320</v>
      </c>
      <c r="KJM810" s="11">
        <v>60900</v>
      </c>
      <c r="KJN810" s="42" t="s">
        <v>937</v>
      </c>
      <c r="KJO810" s="7"/>
      <c r="KJP810" s="7"/>
      <c r="KJQ810" s="7"/>
      <c r="KJR810" s="7"/>
      <c r="KJS810" s="7"/>
      <c r="KJT810" s="1"/>
      <c r="KJU810" s="1"/>
      <c r="KJV810" s="1"/>
      <c r="KJW810" s="1"/>
      <c r="KJX810" s="7"/>
      <c r="KJY810" s="1"/>
      <c r="KJZ810" s="1"/>
      <c r="KKA810" s="1"/>
      <c r="KKB810" s="1"/>
      <c r="KKC810" s="1"/>
      <c r="KKD810" s="1"/>
      <c r="KKE810" s="1"/>
      <c r="KKF810" s="1"/>
      <c r="KKG810" s="1"/>
      <c r="KKH810" s="1"/>
      <c r="KKI810" s="1"/>
      <c r="KKJ810" s="41"/>
      <c r="KKK810" s="1"/>
      <c r="KKL810" s="1"/>
      <c r="KKM810" s="1"/>
      <c r="KKN810" s="1">
        <v>100302.53</v>
      </c>
      <c r="KKO810" s="41">
        <f>13095.23+544.5+254739.02</f>
        <v>268378.75</v>
      </c>
      <c r="KKP810" s="1">
        <f t="shared" si="767"/>
        <v>168076.22</v>
      </c>
      <c r="KKQ810" s="1">
        <f t="shared" si="768"/>
        <v>268378.75</v>
      </c>
      <c r="KKR810" s="11">
        <v>15320</v>
      </c>
      <c r="KKS810" s="11">
        <v>60900</v>
      </c>
      <c r="KKT810" s="42" t="s">
        <v>937</v>
      </c>
      <c r="KKU810" s="7"/>
      <c r="KKV810" s="7"/>
      <c r="KKW810" s="7"/>
      <c r="KKX810" s="7"/>
      <c r="KKY810" s="7"/>
      <c r="KKZ810" s="1"/>
      <c r="KLA810" s="1"/>
      <c r="KLB810" s="1"/>
      <c r="KLC810" s="1"/>
      <c r="KLD810" s="7"/>
      <c r="KLE810" s="1"/>
      <c r="KLF810" s="1"/>
      <c r="KLG810" s="1"/>
      <c r="KLH810" s="1"/>
      <c r="KLI810" s="1"/>
      <c r="KLJ810" s="1"/>
      <c r="KLK810" s="1"/>
      <c r="KLL810" s="1"/>
      <c r="KLM810" s="1"/>
      <c r="KLN810" s="1"/>
      <c r="KLO810" s="1"/>
      <c r="KLP810" s="41"/>
      <c r="KLQ810" s="1"/>
      <c r="KLR810" s="1"/>
      <c r="KLS810" s="1"/>
      <c r="KLT810" s="1">
        <v>100302.53</v>
      </c>
      <c r="KLU810" s="41">
        <f>13095.23+544.5+254739.02</f>
        <v>268378.75</v>
      </c>
      <c r="KLV810" s="1">
        <f t="shared" ref="KLV810:KNB810" si="769">KLU810-KLT810</f>
        <v>168076.22</v>
      </c>
      <c r="KLW810" s="1">
        <f t="shared" ref="KLW810:KNC810" si="770">KLT810+KLV810</f>
        <v>268378.75</v>
      </c>
      <c r="KLX810" s="11">
        <v>15320</v>
      </c>
      <c r="KLY810" s="11">
        <v>60900</v>
      </c>
      <c r="KLZ810" s="42" t="s">
        <v>937</v>
      </c>
      <c r="KMA810" s="7"/>
      <c r="KMB810" s="7"/>
      <c r="KMC810" s="7"/>
      <c r="KMD810" s="7"/>
      <c r="KME810" s="7"/>
      <c r="KMF810" s="1"/>
      <c r="KMG810" s="1"/>
      <c r="KMH810" s="1"/>
      <c r="KMI810" s="1"/>
      <c r="KMJ810" s="7"/>
      <c r="KMK810" s="1"/>
      <c r="KML810" s="1"/>
      <c r="KMM810" s="1"/>
      <c r="KMN810" s="1"/>
      <c r="KMO810" s="1"/>
      <c r="KMP810" s="1"/>
      <c r="KMQ810" s="1"/>
      <c r="KMR810" s="1"/>
      <c r="KMS810" s="1"/>
      <c r="KMT810" s="1"/>
      <c r="KMU810" s="1"/>
      <c r="KMV810" s="41"/>
      <c r="KMW810" s="1"/>
      <c r="KMX810" s="1"/>
      <c r="KMY810" s="1"/>
      <c r="KMZ810" s="1">
        <v>100302.53</v>
      </c>
      <c r="KNA810" s="41">
        <f>13095.23+544.5+254739.02</f>
        <v>268378.75</v>
      </c>
      <c r="KNB810" s="1">
        <f t="shared" si="769"/>
        <v>168076.22</v>
      </c>
      <c r="KNC810" s="1">
        <f t="shared" si="770"/>
        <v>268378.75</v>
      </c>
      <c r="KND810" s="11">
        <v>15320</v>
      </c>
      <c r="KNE810" s="11">
        <v>60900</v>
      </c>
      <c r="KNF810" s="42" t="s">
        <v>937</v>
      </c>
      <c r="KNG810" s="7"/>
      <c r="KNH810" s="7"/>
      <c r="KNI810" s="7"/>
      <c r="KNJ810" s="7"/>
      <c r="KNK810" s="7"/>
      <c r="KNL810" s="1"/>
      <c r="KNM810" s="1"/>
      <c r="KNN810" s="1"/>
      <c r="KNO810" s="1"/>
      <c r="KNP810" s="7"/>
      <c r="KNQ810" s="1"/>
      <c r="KNR810" s="1"/>
      <c r="KNS810" s="1"/>
      <c r="KNT810" s="1"/>
      <c r="KNU810" s="1"/>
      <c r="KNV810" s="1"/>
      <c r="KNW810" s="1"/>
      <c r="KNX810" s="1"/>
      <c r="KNY810" s="1"/>
      <c r="KNZ810" s="1"/>
      <c r="KOA810" s="1"/>
      <c r="KOB810" s="41"/>
      <c r="KOC810" s="1"/>
      <c r="KOD810" s="1"/>
      <c r="KOE810" s="1"/>
      <c r="KOF810" s="1">
        <v>100302.53</v>
      </c>
      <c r="KOG810" s="41">
        <f>13095.23+544.5+254739.02</f>
        <v>268378.75</v>
      </c>
      <c r="KOH810" s="1">
        <f t="shared" ref="KOH810:KPN810" si="771">KOG810-KOF810</f>
        <v>168076.22</v>
      </c>
      <c r="KOI810" s="1">
        <f t="shared" ref="KOI810:KPO810" si="772">KOF810+KOH810</f>
        <v>268378.75</v>
      </c>
      <c r="KOJ810" s="11">
        <v>15320</v>
      </c>
      <c r="KOK810" s="11">
        <v>60900</v>
      </c>
      <c r="KOL810" s="42" t="s">
        <v>937</v>
      </c>
      <c r="KOM810" s="7"/>
      <c r="KON810" s="7"/>
      <c r="KOO810" s="7"/>
      <c r="KOP810" s="7"/>
      <c r="KOQ810" s="7"/>
      <c r="KOR810" s="1"/>
      <c r="KOS810" s="1"/>
      <c r="KOT810" s="1"/>
      <c r="KOU810" s="1"/>
      <c r="KOV810" s="7"/>
      <c r="KOW810" s="1"/>
      <c r="KOX810" s="1"/>
      <c r="KOY810" s="1"/>
      <c r="KOZ810" s="1"/>
      <c r="KPA810" s="1"/>
      <c r="KPB810" s="1"/>
      <c r="KPC810" s="1"/>
      <c r="KPD810" s="1"/>
      <c r="KPE810" s="1"/>
      <c r="KPF810" s="1"/>
      <c r="KPG810" s="1"/>
      <c r="KPH810" s="41"/>
      <c r="KPI810" s="1"/>
      <c r="KPJ810" s="1"/>
      <c r="KPK810" s="1"/>
      <c r="KPL810" s="1">
        <v>100302.53</v>
      </c>
      <c r="KPM810" s="41">
        <f>13095.23+544.5+254739.02</f>
        <v>268378.75</v>
      </c>
      <c r="KPN810" s="1">
        <f t="shared" si="771"/>
        <v>168076.22</v>
      </c>
      <c r="KPO810" s="1">
        <f t="shared" si="772"/>
        <v>268378.75</v>
      </c>
      <c r="KPP810" s="11">
        <v>15320</v>
      </c>
      <c r="KPQ810" s="11">
        <v>60900</v>
      </c>
      <c r="KPR810" s="42" t="s">
        <v>937</v>
      </c>
      <c r="KPS810" s="7"/>
      <c r="KPT810" s="7"/>
      <c r="KPU810" s="7"/>
      <c r="KPV810" s="7"/>
      <c r="KPW810" s="7"/>
      <c r="KPX810" s="1"/>
      <c r="KPY810" s="1"/>
      <c r="KPZ810" s="1"/>
      <c r="KQA810" s="1"/>
      <c r="KQB810" s="7"/>
      <c r="KQC810" s="1"/>
      <c r="KQD810" s="1"/>
      <c r="KQE810" s="1"/>
      <c r="KQF810" s="1"/>
      <c r="KQG810" s="1"/>
      <c r="KQH810" s="1"/>
      <c r="KQI810" s="1"/>
      <c r="KQJ810" s="1"/>
      <c r="KQK810" s="1"/>
      <c r="KQL810" s="1"/>
      <c r="KQM810" s="1"/>
      <c r="KQN810" s="41"/>
      <c r="KQO810" s="1"/>
      <c r="KQP810" s="1"/>
      <c r="KQQ810" s="1"/>
      <c r="KQR810" s="1">
        <v>100302.53</v>
      </c>
      <c r="KQS810" s="41">
        <f>13095.23+544.5+254739.02</f>
        <v>268378.75</v>
      </c>
      <c r="KQT810" s="1">
        <f t="shared" ref="KQT810:KRZ810" si="773">KQS810-KQR810</f>
        <v>168076.22</v>
      </c>
      <c r="KQU810" s="1">
        <f t="shared" ref="KQU810:KSA810" si="774">KQR810+KQT810</f>
        <v>268378.75</v>
      </c>
      <c r="KQV810" s="11">
        <v>15320</v>
      </c>
      <c r="KQW810" s="11">
        <v>60900</v>
      </c>
      <c r="KQX810" s="42" t="s">
        <v>937</v>
      </c>
      <c r="KQY810" s="7"/>
      <c r="KQZ810" s="7"/>
      <c r="KRA810" s="7"/>
      <c r="KRB810" s="7"/>
      <c r="KRC810" s="7"/>
      <c r="KRD810" s="1"/>
      <c r="KRE810" s="1"/>
      <c r="KRF810" s="1"/>
      <c r="KRG810" s="1"/>
      <c r="KRH810" s="7"/>
      <c r="KRI810" s="1"/>
      <c r="KRJ810" s="1"/>
      <c r="KRK810" s="1"/>
      <c r="KRL810" s="1"/>
      <c r="KRM810" s="1"/>
      <c r="KRN810" s="1"/>
      <c r="KRO810" s="1"/>
      <c r="KRP810" s="1"/>
      <c r="KRQ810" s="1"/>
      <c r="KRR810" s="1"/>
      <c r="KRS810" s="1"/>
      <c r="KRT810" s="41"/>
      <c r="KRU810" s="1"/>
      <c r="KRV810" s="1"/>
      <c r="KRW810" s="1"/>
      <c r="KRX810" s="1">
        <v>100302.53</v>
      </c>
      <c r="KRY810" s="41">
        <f>13095.23+544.5+254739.02</f>
        <v>268378.75</v>
      </c>
      <c r="KRZ810" s="1">
        <f t="shared" si="773"/>
        <v>168076.22</v>
      </c>
      <c r="KSA810" s="1">
        <f t="shared" si="774"/>
        <v>268378.75</v>
      </c>
      <c r="KSB810" s="11">
        <v>15320</v>
      </c>
      <c r="KSC810" s="11">
        <v>60900</v>
      </c>
      <c r="KSD810" s="42" t="s">
        <v>937</v>
      </c>
      <c r="KSE810" s="7"/>
      <c r="KSF810" s="7"/>
      <c r="KSG810" s="7"/>
      <c r="KSH810" s="7"/>
      <c r="KSI810" s="7"/>
      <c r="KSJ810" s="1"/>
      <c r="KSK810" s="1"/>
      <c r="KSL810" s="1"/>
      <c r="KSM810" s="1"/>
      <c r="KSN810" s="7"/>
      <c r="KSO810" s="1"/>
      <c r="KSP810" s="1"/>
      <c r="KSQ810" s="1"/>
      <c r="KSR810" s="1"/>
      <c r="KSS810" s="1"/>
      <c r="KST810" s="1"/>
      <c r="KSU810" s="1"/>
      <c r="KSV810" s="1"/>
      <c r="KSW810" s="1"/>
      <c r="KSX810" s="1"/>
      <c r="KSY810" s="1"/>
      <c r="KSZ810" s="41"/>
      <c r="KTA810" s="1"/>
      <c r="KTB810" s="1"/>
      <c r="KTC810" s="1"/>
      <c r="KTD810" s="1">
        <v>100302.53</v>
      </c>
      <c r="KTE810" s="41">
        <f>13095.23+544.5+254739.02</f>
        <v>268378.75</v>
      </c>
      <c r="KTF810" s="1">
        <f t="shared" ref="KTF810:KUL810" si="775">KTE810-KTD810</f>
        <v>168076.22</v>
      </c>
      <c r="KTG810" s="1">
        <f t="shared" ref="KTG810:KUM810" si="776">KTD810+KTF810</f>
        <v>268378.75</v>
      </c>
      <c r="KTH810" s="11">
        <v>15320</v>
      </c>
      <c r="KTI810" s="11">
        <v>60900</v>
      </c>
      <c r="KTJ810" s="42" t="s">
        <v>937</v>
      </c>
      <c r="KTK810" s="7"/>
      <c r="KTL810" s="7"/>
      <c r="KTM810" s="7"/>
      <c r="KTN810" s="7"/>
      <c r="KTO810" s="7"/>
      <c r="KTP810" s="1"/>
      <c r="KTQ810" s="1"/>
      <c r="KTR810" s="1"/>
      <c r="KTS810" s="1"/>
      <c r="KTT810" s="7"/>
      <c r="KTU810" s="1"/>
      <c r="KTV810" s="1"/>
      <c r="KTW810" s="1"/>
      <c r="KTX810" s="1"/>
      <c r="KTY810" s="1"/>
      <c r="KTZ810" s="1"/>
      <c r="KUA810" s="1"/>
      <c r="KUB810" s="1"/>
      <c r="KUC810" s="1"/>
      <c r="KUD810" s="1"/>
      <c r="KUE810" s="1"/>
      <c r="KUF810" s="41"/>
      <c r="KUG810" s="1"/>
      <c r="KUH810" s="1"/>
      <c r="KUI810" s="1"/>
      <c r="KUJ810" s="1">
        <v>100302.53</v>
      </c>
      <c r="KUK810" s="41">
        <f>13095.23+544.5+254739.02</f>
        <v>268378.75</v>
      </c>
      <c r="KUL810" s="1">
        <f t="shared" si="775"/>
        <v>168076.22</v>
      </c>
      <c r="KUM810" s="1">
        <f t="shared" si="776"/>
        <v>268378.75</v>
      </c>
      <c r="KUN810" s="11">
        <v>15320</v>
      </c>
      <c r="KUO810" s="11">
        <v>60900</v>
      </c>
      <c r="KUP810" s="42" t="s">
        <v>937</v>
      </c>
      <c r="KUQ810" s="7"/>
      <c r="KUR810" s="7"/>
      <c r="KUS810" s="7"/>
      <c r="KUT810" s="7"/>
      <c r="KUU810" s="7"/>
      <c r="KUV810" s="1"/>
      <c r="KUW810" s="1"/>
      <c r="KUX810" s="1"/>
      <c r="KUY810" s="1"/>
      <c r="KUZ810" s="7"/>
      <c r="KVA810" s="1"/>
      <c r="KVB810" s="1"/>
      <c r="KVC810" s="1"/>
      <c r="KVD810" s="1"/>
      <c r="KVE810" s="1"/>
      <c r="KVF810" s="1"/>
      <c r="KVG810" s="1"/>
      <c r="KVH810" s="1"/>
      <c r="KVI810" s="1"/>
      <c r="KVJ810" s="1"/>
      <c r="KVK810" s="1"/>
      <c r="KVL810" s="41"/>
      <c r="KVM810" s="1"/>
      <c r="KVN810" s="1"/>
      <c r="KVO810" s="1"/>
      <c r="KVP810" s="1">
        <v>100302.53</v>
      </c>
      <c r="KVQ810" s="41">
        <f>13095.23+544.5+254739.02</f>
        <v>268378.75</v>
      </c>
      <c r="KVR810" s="1">
        <f t="shared" ref="KVR810:KWX810" si="777">KVQ810-KVP810</f>
        <v>168076.22</v>
      </c>
      <c r="KVS810" s="1">
        <f t="shared" ref="KVS810:KWY810" si="778">KVP810+KVR810</f>
        <v>268378.75</v>
      </c>
      <c r="KVT810" s="11">
        <v>15320</v>
      </c>
      <c r="KVU810" s="11">
        <v>60900</v>
      </c>
      <c r="KVV810" s="42" t="s">
        <v>937</v>
      </c>
      <c r="KVW810" s="7"/>
      <c r="KVX810" s="7"/>
      <c r="KVY810" s="7"/>
      <c r="KVZ810" s="7"/>
      <c r="KWA810" s="7"/>
      <c r="KWB810" s="1"/>
      <c r="KWC810" s="1"/>
      <c r="KWD810" s="1"/>
      <c r="KWE810" s="1"/>
      <c r="KWF810" s="7"/>
      <c r="KWG810" s="1"/>
      <c r="KWH810" s="1"/>
      <c r="KWI810" s="1"/>
      <c r="KWJ810" s="1"/>
      <c r="KWK810" s="1"/>
      <c r="KWL810" s="1"/>
      <c r="KWM810" s="1"/>
      <c r="KWN810" s="1"/>
      <c r="KWO810" s="1"/>
      <c r="KWP810" s="1"/>
      <c r="KWQ810" s="1"/>
      <c r="KWR810" s="41"/>
      <c r="KWS810" s="1"/>
      <c r="KWT810" s="1"/>
      <c r="KWU810" s="1"/>
      <c r="KWV810" s="1">
        <v>100302.53</v>
      </c>
      <c r="KWW810" s="41">
        <f>13095.23+544.5+254739.02</f>
        <v>268378.75</v>
      </c>
      <c r="KWX810" s="1">
        <f t="shared" si="777"/>
        <v>168076.22</v>
      </c>
      <c r="KWY810" s="1">
        <f t="shared" si="778"/>
        <v>268378.75</v>
      </c>
      <c r="KWZ810" s="11">
        <v>15320</v>
      </c>
      <c r="KXA810" s="11">
        <v>60900</v>
      </c>
      <c r="KXB810" s="42" t="s">
        <v>937</v>
      </c>
      <c r="KXC810" s="7"/>
      <c r="KXD810" s="7"/>
      <c r="KXE810" s="7"/>
      <c r="KXF810" s="7"/>
      <c r="KXG810" s="7"/>
      <c r="KXH810" s="1"/>
      <c r="KXI810" s="1"/>
      <c r="KXJ810" s="1"/>
      <c r="KXK810" s="1"/>
      <c r="KXL810" s="7"/>
      <c r="KXM810" s="1"/>
      <c r="KXN810" s="1"/>
      <c r="KXO810" s="1"/>
      <c r="KXP810" s="1"/>
      <c r="KXQ810" s="1"/>
      <c r="KXR810" s="1"/>
      <c r="KXS810" s="1"/>
      <c r="KXT810" s="1"/>
      <c r="KXU810" s="1"/>
      <c r="KXV810" s="1"/>
      <c r="KXW810" s="1"/>
      <c r="KXX810" s="41"/>
      <c r="KXY810" s="1"/>
      <c r="KXZ810" s="1"/>
      <c r="KYA810" s="1"/>
      <c r="KYB810" s="1">
        <v>100302.53</v>
      </c>
      <c r="KYC810" s="41">
        <f>13095.23+544.5+254739.02</f>
        <v>268378.75</v>
      </c>
      <c r="KYD810" s="1">
        <f t="shared" ref="KYD810:KZJ810" si="779">KYC810-KYB810</f>
        <v>168076.22</v>
      </c>
      <c r="KYE810" s="1">
        <f t="shared" ref="KYE810:KZK810" si="780">KYB810+KYD810</f>
        <v>268378.75</v>
      </c>
      <c r="KYF810" s="11">
        <v>15320</v>
      </c>
      <c r="KYG810" s="11">
        <v>60900</v>
      </c>
      <c r="KYH810" s="42" t="s">
        <v>937</v>
      </c>
      <c r="KYI810" s="7"/>
      <c r="KYJ810" s="7"/>
      <c r="KYK810" s="7"/>
      <c r="KYL810" s="7"/>
      <c r="KYM810" s="7"/>
      <c r="KYN810" s="1"/>
      <c r="KYO810" s="1"/>
      <c r="KYP810" s="1"/>
      <c r="KYQ810" s="1"/>
      <c r="KYR810" s="7"/>
      <c r="KYS810" s="1"/>
      <c r="KYT810" s="1"/>
      <c r="KYU810" s="1"/>
      <c r="KYV810" s="1"/>
      <c r="KYW810" s="1"/>
      <c r="KYX810" s="1"/>
      <c r="KYY810" s="1"/>
      <c r="KYZ810" s="1"/>
      <c r="KZA810" s="1"/>
      <c r="KZB810" s="1"/>
      <c r="KZC810" s="1"/>
      <c r="KZD810" s="41"/>
      <c r="KZE810" s="1"/>
      <c r="KZF810" s="1"/>
      <c r="KZG810" s="1"/>
      <c r="KZH810" s="1">
        <v>100302.53</v>
      </c>
      <c r="KZI810" s="41">
        <f>13095.23+544.5+254739.02</f>
        <v>268378.75</v>
      </c>
      <c r="KZJ810" s="1">
        <f t="shared" si="779"/>
        <v>168076.22</v>
      </c>
      <c r="KZK810" s="1">
        <f t="shared" si="780"/>
        <v>268378.75</v>
      </c>
      <c r="KZL810" s="11">
        <v>15320</v>
      </c>
      <c r="KZM810" s="11">
        <v>60900</v>
      </c>
      <c r="KZN810" s="42" t="s">
        <v>937</v>
      </c>
      <c r="KZO810" s="7"/>
      <c r="KZP810" s="7"/>
      <c r="KZQ810" s="7"/>
      <c r="KZR810" s="7"/>
      <c r="KZS810" s="7"/>
      <c r="KZT810" s="1"/>
      <c r="KZU810" s="1"/>
      <c r="KZV810" s="1"/>
      <c r="KZW810" s="1"/>
      <c r="KZX810" s="7"/>
      <c r="KZY810" s="1"/>
      <c r="KZZ810" s="1"/>
      <c r="LAA810" s="1"/>
      <c r="LAB810" s="1"/>
      <c r="LAC810" s="1"/>
      <c r="LAD810" s="1"/>
      <c r="LAE810" s="1"/>
      <c r="LAF810" s="1"/>
      <c r="LAG810" s="1"/>
      <c r="LAH810" s="1"/>
      <c r="LAI810" s="1"/>
      <c r="LAJ810" s="41"/>
      <c r="LAK810" s="1"/>
      <c r="LAL810" s="1"/>
      <c r="LAM810" s="1"/>
      <c r="LAN810" s="1">
        <v>100302.53</v>
      </c>
      <c r="LAO810" s="41">
        <f>13095.23+544.5+254739.02</f>
        <v>268378.75</v>
      </c>
      <c r="LAP810" s="1">
        <f t="shared" ref="LAP810:LBV810" si="781">LAO810-LAN810</f>
        <v>168076.22</v>
      </c>
      <c r="LAQ810" s="1">
        <f t="shared" ref="LAQ810:LBW810" si="782">LAN810+LAP810</f>
        <v>268378.75</v>
      </c>
      <c r="LAR810" s="11">
        <v>15320</v>
      </c>
      <c r="LAS810" s="11">
        <v>60900</v>
      </c>
      <c r="LAT810" s="42" t="s">
        <v>937</v>
      </c>
      <c r="LAU810" s="7"/>
      <c r="LAV810" s="7"/>
      <c r="LAW810" s="7"/>
      <c r="LAX810" s="7"/>
      <c r="LAY810" s="7"/>
      <c r="LAZ810" s="1"/>
      <c r="LBA810" s="1"/>
      <c r="LBB810" s="1"/>
      <c r="LBC810" s="1"/>
      <c r="LBD810" s="7"/>
      <c r="LBE810" s="1"/>
      <c r="LBF810" s="1"/>
      <c r="LBG810" s="1"/>
      <c r="LBH810" s="1"/>
      <c r="LBI810" s="1"/>
      <c r="LBJ810" s="1"/>
      <c r="LBK810" s="1"/>
      <c r="LBL810" s="1"/>
      <c r="LBM810" s="1"/>
      <c r="LBN810" s="1"/>
      <c r="LBO810" s="1"/>
      <c r="LBP810" s="41"/>
      <c r="LBQ810" s="1"/>
      <c r="LBR810" s="1"/>
      <c r="LBS810" s="1"/>
      <c r="LBT810" s="1">
        <v>100302.53</v>
      </c>
      <c r="LBU810" s="41">
        <f>13095.23+544.5+254739.02</f>
        <v>268378.75</v>
      </c>
      <c r="LBV810" s="1">
        <f t="shared" si="781"/>
        <v>168076.22</v>
      </c>
      <c r="LBW810" s="1">
        <f t="shared" si="782"/>
        <v>268378.75</v>
      </c>
      <c r="LBX810" s="11">
        <v>15320</v>
      </c>
      <c r="LBY810" s="11">
        <v>60900</v>
      </c>
      <c r="LBZ810" s="42" t="s">
        <v>937</v>
      </c>
      <c r="LCA810" s="7"/>
      <c r="LCB810" s="7"/>
      <c r="LCC810" s="7"/>
      <c r="LCD810" s="7"/>
      <c r="LCE810" s="7"/>
      <c r="LCF810" s="1"/>
      <c r="LCG810" s="1"/>
      <c r="LCH810" s="1"/>
      <c r="LCI810" s="1"/>
      <c r="LCJ810" s="7"/>
      <c r="LCK810" s="1"/>
      <c r="LCL810" s="1"/>
      <c r="LCM810" s="1"/>
      <c r="LCN810" s="1"/>
      <c r="LCO810" s="1"/>
      <c r="LCP810" s="1"/>
      <c r="LCQ810" s="1"/>
      <c r="LCR810" s="1"/>
      <c r="LCS810" s="1"/>
      <c r="LCT810" s="1"/>
      <c r="LCU810" s="1"/>
      <c r="LCV810" s="41"/>
      <c r="LCW810" s="1"/>
      <c r="LCX810" s="1"/>
      <c r="LCY810" s="1"/>
      <c r="LCZ810" s="1">
        <v>100302.53</v>
      </c>
      <c r="LDA810" s="41">
        <f>13095.23+544.5+254739.02</f>
        <v>268378.75</v>
      </c>
      <c r="LDB810" s="1">
        <f t="shared" ref="LDB810:LEH810" si="783">LDA810-LCZ810</f>
        <v>168076.22</v>
      </c>
      <c r="LDC810" s="1">
        <f t="shared" ref="LDC810:LEI810" si="784">LCZ810+LDB810</f>
        <v>268378.75</v>
      </c>
      <c r="LDD810" s="11">
        <v>15320</v>
      </c>
      <c r="LDE810" s="11">
        <v>60900</v>
      </c>
      <c r="LDF810" s="42" t="s">
        <v>937</v>
      </c>
      <c r="LDG810" s="7"/>
      <c r="LDH810" s="7"/>
      <c r="LDI810" s="7"/>
      <c r="LDJ810" s="7"/>
      <c r="LDK810" s="7"/>
      <c r="LDL810" s="1"/>
      <c r="LDM810" s="1"/>
      <c r="LDN810" s="1"/>
      <c r="LDO810" s="1"/>
      <c r="LDP810" s="7"/>
      <c r="LDQ810" s="1"/>
      <c r="LDR810" s="1"/>
      <c r="LDS810" s="1"/>
      <c r="LDT810" s="1"/>
      <c r="LDU810" s="1"/>
      <c r="LDV810" s="1"/>
      <c r="LDW810" s="1"/>
      <c r="LDX810" s="1"/>
      <c r="LDY810" s="1"/>
      <c r="LDZ810" s="1"/>
      <c r="LEA810" s="1"/>
      <c r="LEB810" s="41"/>
      <c r="LEC810" s="1"/>
      <c r="LED810" s="1"/>
      <c r="LEE810" s="1"/>
      <c r="LEF810" s="1">
        <v>100302.53</v>
      </c>
      <c r="LEG810" s="41">
        <f>13095.23+544.5+254739.02</f>
        <v>268378.75</v>
      </c>
      <c r="LEH810" s="1">
        <f t="shared" si="783"/>
        <v>168076.22</v>
      </c>
      <c r="LEI810" s="1">
        <f t="shared" si="784"/>
        <v>268378.75</v>
      </c>
      <c r="LEJ810" s="11">
        <v>15320</v>
      </c>
      <c r="LEK810" s="11">
        <v>60900</v>
      </c>
      <c r="LEL810" s="42" t="s">
        <v>937</v>
      </c>
      <c r="LEM810" s="7"/>
      <c r="LEN810" s="7"/>
      <c r="LEO810" s="7"/>
      <c r="LEP810" s="7"/>
      <c r="LEQ810" s="7"/>
      <c r="LER810" s="1"/>
      <c r="LES810" s="1"/>
      <c r="LET810" s="1"/>
      <c r="LEU810" s="1"/>
      <c r="LEV810" s="7"/>
      <c r="LEW810" s="1"/>
      <c r="LEX810" s="1"/>
      <c r="LEY810" s="1"/>
      <c r="LEZ810" s="1"/>
      <c r="LFA810" s="1"/>
      <c r="LFB810" s="1"/>
      <c r="LFC810" s="1"/>
      <c r="LFD810" s="1"/>
      <c r="LFE810" s="1"/>
      <c r="LFF810" s="1"/>
      <c r="LFG810" s="1"/>
      <c r="LFH810" s="41"/>
      <c r="LFI810" s="1"/>
      <c r="LFJ810" s="1"/>
      <c r="LFK810" s="1"/>
      <c r="LFL810" s="1">
        <v>100302.53</v>
      </c>
      <c r="LFM810" s="41">
        <f>13095.23+544.5+254739.02</f>
        <v>268378.75</v>
      </c>
      <c r="LFN810" s="1">
        <f t="shared" ref="LFN810:LGT810" si="785">LFM810-LFL810</f>
        <v>168076.22</v>
      </c>
      <c r="LFO810" s="1">
        <f t="shared" ref="LFO810:LGU810" si="786">LFL810+LFN810</f>
        <v>268378.75</v>
      </c>
      <c r="LFP810" s="11">
        <v>15320</v>
      </c>
      <c r="LFQ810" s="11">
        <v>60900</v>
      </c>
      <c r="LFR810" s="42" t="s">
        <v>937</v>
      </c>
      <c r="LFS810" s="7"/>
      <c r="LFT810" s="7"/>
      <c r="LFU810" s="7"/>
      <c r="LFV810" s="7"/>
      <c r="LFW810" s="7"/>
      <c r="LFX810" s="1"/>
      <c r="LFY810" s="1"/>
      <c r="LFZ810" s="1"/>
      <c r="LGA810" s="1"/>
      <c r="LGB810" s="7"/>
      <c r="LGC810" s="1"/>
      <c r="LGD810" s="1"/>
      <c r="LGE810" s="1"/>
      <c r="LGF810" s="1"/>
      <c r="LGG810" s="1"/>
      <c r="LGH810" s="1"/>
      <c r="LGI810" s="1"/>
      <c r="LGJ810" s="1"/>
      <c r="LGK810" s="1"/>
      <c r="LGL810" s="1"/>
      <c r="LGM810" s="1"/>
      <c r="LGN810" s="41"/>
      <c r="LGO810" s="1"/>
      <c r="LGP810" s="1"/>
      <c r="LGQ810" s="1"/>
      <c r="LGR810" s="1">
        <v>100302.53</v>
      </c>
      <c r="LGS810" s="41">
        <f>13095.23+544.5+254739.02</f>
        <v>268378.75</v>
      </c>
      <c r="LGT810" s="1">
        <f t="shared" si="785"/>
        <v>168076.22</v>
      </c>
      <c r="LGU810" s="1">
        <f t="shared" si="786"/>
        <v>268378.75</v>
      </c>
      <c r="LGV810" s="11">
        <v>15320</v>
      </c>
      <c r="LGW810" s="11">
        <v>60900</v>
      </c>
      <c r="LGX810" s="42" t="s">
        <v>937</v>
      </c>
      <c r="LGY810" s="7"/>
      <c r="LGZ810" s="7"/>
      <c r="LHA810" s="7"/>
      <c r="LHB810" s="7"/>
      <c r="LHC810" s="7"/>
      <c r="LHD810" s="1"/>
      <c r="LHE810" s="1"/>
      <c r="LHF810" s="1"/>
      <c r="LHG810" s="1"/>
      <c r="LHH810" s="7"/>
      <c r="LHI810" s="1"/>
      <c r="LHJ810" s="1"/>
      <c r="LHK810" s="1"/>
      <c r="LHL810" s="1"/>
      <c r="LHM810" s="1"/>
      <c r="LHN810" s="1"/>
      <c r="LHO810" s="1"/>
      <c r="LHP810" s="1"/>
      <c r="LHQ810" s="1"/>
      <c r="LHR810" s="1"/>
      <c r="LHS810" s="1"/>
      <c r="LHT810" s="41"/>
      <c r="LHU810" s="1"/>
      <c r="LHV810" s="1"/>
      <c r="LHW810" s="1"/>
      <c r="LHX810" s="1">
        <v>100302.53</v>
      </c>
      <c r="LHY810" s="41">
        <f>13095.23+544.5+254739.02</f>
        <v>268378.75</v>
      </c>
      <c r="LHZ810" s="1">
        <f t="shared" ref="LHZ810:LJF810" si="787">LHY810-LHX810</f>
        <v>168076.22</v>
      </c>
      <c r="LIA810" s="1">
        <f t="shared" ref="LIA810:LJG810" si="788">LHX810+LHZ810</f>
        <v>268378.75</v>
      </c>
      <c r="LIB810" s="11">
        <v>15320</v>
      </c>
      <c r="LIC810" s="11">
        <v>60900</v>
      </c>
      <c r="LID810" s="42" t="s">
        <v>937</v>
      </c>
      <c r="LIE810" s="7"/>
      <c r="LIF810" s="7"/>
      <c r="LIG810" s="7"/>
      <c r="LIH810" s="7"/>
      <c r="LII810" s="7"/>
      <c r="LIJ810" s="1"/>
      <c r="LIK810" s="1"/>
      <c r="LIL810" s="1"/>
      <c r="LIM810" s="1"/>
      <c r="LIN810" s="7"/>
      <c r="LIO810" s="1"/>
      <c r="LIP810" s="1"/>
      <c r="LIQ810" s="1"/>
      <c r="LIR810" s="1"/>
      <c r="LIS810" s="1"/>
      <c r="LIT810" s="1"/>
      <c r="LIU810" s="1"/>
      <c r="LIV810" s="1"/>
      <c r="LIW810" s="1"/>
      <c r="LIX810" s="1"/>
      <c r="LIY810" s="1"/>
      <c r="LIZ810" s="41"/>
      <c r="LJA810" s="1"/>
      <c r="LJB810" s="1"/>
      <c r="LJC810" s="1"/>
      <c r="LJD810" s="1">
        <v>100302.53</v>
      </c>
      <c r="LJE810" s="41">
        <f>13095.23+544.5+254739.02</f>
        <v>268378.75</v>
      </c>
      <c r="LJF810" s="1">
        <f t="shared" si="787"/>
        <v>168076.22</v>
      </c>
      <c r="LJG810" s="1">
        <f t="shared" si="788"/>
        <v>268378.75</v>
      </c>
      <c r="LJH810" s="11">
        <v>15320</v>
      </c>
      <c r="LJI810" s="11">
        <v>60900</v>
      </c>
      <c r="LJJ810" s="42" t="s">
        <v>937</v>
      </c>
      <c r="LJK810" s="7"/>
      <c r="LJL810" s="7"/>
      <c r="LJM810" s="7"/>
      <c r="LJN810" s="7"/>
      <c r="LJO810" s="7"/>
      <c r="LJP810" s="1"/>
      <c r="LJQ810" s="1"/>
      <c r="LJR810" s="1"/>
      <c r="LJS810" s="1"/>
      <c r="LJT810" s="7"/>
      <c r="LJU810" s="1"/>
      <c r="LJV810" s="1"/>
      <c r="LJW810" s="1"/>
      <c r="LJX810" s="1"/>
      <c r="LJY810" s="1"/>
      <c r="LJZ810" s="1"/>
      <c r="LKA810" s="1"/>
      <c r="LKB810" s="1"/>
      <c r="LKC810" s="1"/>
      <c r="LKD810" s="1"/>
      <c r="LKE810" s="1"/>
      <c r="LKF810" s="41"/>
      <c r="LKG810" s="1"/>
      <c r="LKH810" s="1"/>
      <c r="LKI810" s="1"/>
      <c r="LKJ810" s="1">
        <v>100302.53</v>
      </c>
      <c r="LKK810" s="41">
        <f>13095.23+544.5+254739.02</f>
        <v>268378.75</v>
      </c>
      <c r="LKL810" s="1">
        <f t="shared" ref="LKL810:LLR810" si="789">LKK810-LKJ810</f>
        <v>168076.22</v>
      </c>
      <c r="LKM810" s="1">
        <f t="shared" ref="LKM810:LLS810" si="790">LKJ810+LKL810</f>
        <v>268378.75</v>
      </c>
      <c r="LKN810" s="11">
        <v>15320</v>
      </c>
      <c r="LKO810" s="11">
        <v>60900</v>
      </c>
      <c r="LKP810" s="42" t="s">
        <v>937</v>
      </c>
      <c r="LKQ810" s="7"/>
      <c r="LKR810" s="7"/>
      <c r="LKS810" s="7"/>
      <c r="LKT810" s="7"/>
      <c r="LKU810" s="7"/>
      <c r="LKV810" s="1"/>
      <c r="LKW810" s="1"/>
      <c r="LKX810" s="1"/>
      <c r="LKY810" s="1"/>
      <c r="LKZ810" s="7"/>
      <c r="LLA810" s="1"/>
      <c r="LLB810" s="1"/>
      <c r="LLC810" s="1"/>
      <c r="LLD810" s="1"/>
      <c r="LLE810" s="1"/>
      <c r="LLF810" s="1"/>
      <c r="LLG810" s="1"/>
      <c r="LLH810" s="1"/>
      <c r="LLI810" s="1"/>
      <c r="LLJ810" s="1"/>
      <c r="LLK810" s="1"/>
      <c r="LLL810" s="41"/>
      <c r="LLM810" s="1"/>
      <c r="LLN810" s="1"/>
      <c r="LLO810" s="1"/>
      <c r="LLP810" s="1">
        <v>100302.53</v>
      </c>
      <c r="LLQ810" s="41">
        <f>13095.23+544.5+254739.02</f>
        <v>268378.75</v>
      </c>
      <c r="LLR810" s="1">
        <f t="shared" si="789"/>
        <v>168076.22</v>
      </c>
      <c r="LLS810" s="1">
        <f t="shared" si="790"/>
        <v>268378.75</v>
      </c>
      <c r="LLT810" s="11">
        <v>15320</v>
      </c>
      <c r="LLU810" s="11">
        <v>60900</v>
      </c>
      <c r="LLV810" s="42" t="s">
        <v>937</v>
      </c>
      <c r="LLW810" s="7"/>
      <c r="LLX810" s="7"/>
      <c r="LLY810" s="7"/>
      <c r="LLZ810" s="7"/>
      <c r="LMA810" s="7"/>
      <c r="LMB810" s="1"/>
      <c r="LMC810" s="1"/>
      <c r="LMD810" s="1"/>
      <c r="LME810" s="1"/>
      <c r="LMF810" s="7"/>
      <c r="LMG810" s="1"/>
      <c r="LMH810" s="1"/>
      <c r="LMI810" s="1"/>
      <c r="LMJ810" s="1"/>
      <c r="LMK810" s="1"/>
      <c r="LML810" s="1"/>
      <c r="LMM810" s="1"/>
      <c r="LMN810" s="1"/>
      <c r="LMO810" s="1"/>
      <c r="LMP810" s="1"/>
      <c r="LMQ810" s="1"/>
      <c r="LMR810" s="41"/>
      <c r="LMS810" s="1"/>
      <c r="LMT810" s="1"/>
      <c r="LMU810" s="1"/>
      <c r="LMV810" s="1">
        <v>100302.53</v>
      </c>
      <c r="LMW810" s="41">
        <f>13095.23+544.5+254739.02</f>
        <v>268378.75</v>
      </c>
      <c r="LMX810" s="1">
        <f t="shared" ref="LMX810:LOD810" si="791">LMW810-LMV810</f>
        <v>168076.22</v>
      </c>
      <c r="LMY810" s="1">
        <f t="shared" ref="LMY810:LOE810" si="792">LMV810+LMX810</f>
        <v>268378.75</v>
      </c>
      <c r="LMZ810" s="11">
        <v>15320</v>
      </c>
      <c r="LNA810" s="11">
        <v>60900</v>
      </c>
      <c r="LNB810" s="42" t="s">
        <v>937</v>
      </c>
      <c r="LNC810" s="7"/>
      <c r="LND810" s="7"/>
      <c r="LNE810" s="7"/>
      <c r="LNF810" s="7"/>
      <c r="LNG810" s="7"/>
      <c r="LNH810" s="1"/>
      <c r="LNI810" s="1"/>
      <c r="LNJ810" s="1"/>
      <c r="LNK810" s="1"/>
      <c r="LNL810" s="7"/>
      <c r="LNM810" s="1"/>
      <c r="LNN810" s="1"/>
      <c r="LNO810" s="1"/>
      <c r="LNP810" s="1"/>
      <c r="LNQ810" s="1"/>
      <c r="LNR810" s="1"/>
      <c r="LNS810" s="1"/>
      <c r="LNT810" s="1"/>
      <c r="LNU810" s="1"/>
      <c r="LNV810" s="1"/>
      <c r="LNW810" s="1"/>
      <c r="LNX810" s="41"/>
      <c r="LNY810" s="1"/>
      <c r="LNZ810" s="1"/>
      <c r="LOA810" s="1"/>
      <c r="LOB810" s="1">
        <v>100302.53</v>
      </c>
      <c r="LOC810" s="41">
        <f>13095.23+544.5+254739.02</f>
        <v>268378.75</v>
      </c>
      <c r="LOD810" s="1">
        <f t="shared" si="791"/>
        <v>168076.22</v>
      </c>
      <c r="LOE810" s="1">
        <f t="shared" si="792"/>
        <v>268378.75</v>
      </c>
      <c r="LOF810" s="11">
        <v>15320</v>
      </c>
      <c r="LOG810" s="11">
        <v>60900</v>
      </c>
      <c r="LOH810" s="42" t="s">
        <v>937</v>
      </c>
      <c r="LOI810" s="7"/>
      <c r="LOJ810" s="7"/>
      <c r="LOK810" s="7"/>
      <c r="LOL810" s="7"/>
      <c r="LOM810" s="7"/>
      <c r="LON810" s="1"/>
      <c r="LOO810" s="1"/>
      <c r="LOP810" s="1"/>
      <c r="LOQ810" s="1"/>
      <c r="LOR810" s="7"/>
      <c r="LOS810" s="1"/>
      <c r="LOT810" s="1"/>
      <c r="LOU810" s="1"/>
      <c r="LOV810" s="1"/>
      <c r="LOW810" s="1"/>
      <c r="LOX810" s="1"/>
      <c r="LOY810" s="1"/>
      <c r="LOZ810" s="1"/>
      <c r="LPA810" s="1"/>
      <c r="LPB810" s="1"/>
      <c r="LPC810" s="1"/>
      <c r="LPD810" s="41"/>
      <c r="LPE810" s="1"/>
      <c r="LPF810" s="1"/>
      <c r="LPG810" s="1"/>
      <c r="LPH810" s="1">
        <v>100302.53</v>
      </c>
      <c r="LPI810" s="41">
        <f>13095.23+544.5+254739.02</f>
        <v>268378.75</v>
      </c>
      <c r="LPJ810" s="1">
        <f t="shared" ref="LPJ810:LQP810" si="793">LPI810-LPH810</f>
        <v>168076.22</v>
      </c>
      <c r="LPK810" s="1">
        <f t="shared" ref="LPK810:LQQ810" si="794">LPH810+LPJ810</f>
        <v>268378.75</v>
      </c>
      <c r="LPL810" s="11">
        <v>15320</v>
      </c>
      <c r="LPM810" s="11">
        <v>60900</v>
      </c>
      <c r="LPN810" s="42" t="s">
        <v>937</v>
      </c>
      <c r="LPO810" s="7"/>
      <c r="LPP810" s="7"/>
      <c r="LPQ810" s="7"/>
      <c r="LPR810" s="7"/>
      <c r="LPS810" s="7"/>
      <c r="LPT810" s="1"/>
      <c r="LPU810" s="1"/>
      <c r="LPV810" s="1"/>
      <c r="LPW810" s="1"/>
      <c r="LPX810" s="7"/>
      <c r="LPY810" s="1"/>
      <c r="LPZ810" s="1"/>
      <c r="LQA810" s="1"/>
      <c r="LQB810" s="1"/>
      <c r="LQC810" s="1"/>
      <c r="LQD810" s="1"/>
      <c r="LQE810" s="1"/>
      <c r="LQF810" s="1"/>
      <c r="LQG810" s="1"/>
      <c r="LQH810" s="1"/>
      <c r="LQI810" s="1"/>
      <c r="LQJ810" s="41"/>
      <c r="LQK810" s="1"/>
      <c r="LQL810" s="1"/>
      <c r="LQM810" s="1"/>
      <c r="LQN810" s="1">
        <v>100302.53</v>
      </c>
      <c r="LQO810" s="41">
        <f>13095.23+544.5+254739.02</f>
        <v>268378.75</v>
      </c>
      <c r="LQP810" s="1">
        <f t="shared" si="793"/>
        <v>168076.22</v>
      </c>
      <c r="LQQ810" s="1">
        <f t="shared" si="794"/>
        <v>268378.75</v>
      </c>
      <c r="LQR810" s="11">
        <v>15320</v>
      </c>
      <c r="LQS810" s="11">
        <v>60900</v>
      </c>
      <c r="LQT810" s="42" t="s">
        <v>937</v>
      </c>
      <c r="LQU810" s="7"/>
      <c r="LQV810" s="7"/>
      <c r="LQW810" s="7"/>
      <c r="LQX810" s="7"/>
      <c r="LQY810" s="7"/>
      <c r="LQZ810" s="1"/>
      <c r="LRA810" s="1"/>
      <c r="LRB810" s="1"/>
      <c r="LRC810" s="1"/>
      <c r="LRD810" s="7"/>
      <c r="LRE810" s="1"/>
      <c r="LRF810" s="1"/>
      <c r="LRG810" s="1"/>
      <c r="LRH810" s="1"/>
      <c r="LRI810" s="1"/>
      <c r="LRJ810" s="1"/>
      <c r="LRK810" s="1"/>
      <c r="LRL810" s="1"/>
      <c r="LRM810" s="1"/>
      <c r="LRN810" s="1"/>
      <c r="LRO810" s="1"/>
      <c r="LRP810" s="41"/>
      <c r="LRQ810" s="1"/>
      <c r="LRR810" s="1"/>
      <c r="LRS810" s="1"/>
      <c r="LRT810" s="1">
        <v>100302.53</v>
      </c>
      <c r="LRU810" s="41">
        <f>13095.23+544.5+254739.02</f>
        <v>268378.75</v>
      </c>
      <c r="LRV810" s="1">
        <f t="shared" ref="LRV810:LTB810" si="795">LRU810-LRT810</f>
        <v>168076.22</v>
      </c>
      <c r="LRW810" s="1">
        <f t="shared" ref="LRW810:LTC810" si="796">LRT810+LRV810</f>
        <v>268378.75</v>
      </c>
      <c r="LRX810" s="11">
        <v>15320</v>
      </c>
      <c r="LRY810" s="11">
        <v>60900</v>
      </c>
      <c r="LRZ810" s="42" t="s">
        <v>937</v>
      </c>
      <c r="LSA810" s="7"/>
      <c r="LSB810" s="7"/>
      <c r="LSC810" s="7"/>
      <c r="LSD810" s="7"/>
      <c r="LSE810" s="7"/>
      <c r="LSF810" s="1"/>
      <c r="LSG810" s="1"/>
      <c r="LSH810" s="1"/>
      <c r="LSI810" s="1"/>
      <c r="LSJ810" s="7"/>
      <c r="LSK810" s="1"/>
      <c r="LSL810" s="1"/>
      <c r="LSM810" s="1"/>
      <c r="LSN810" s="1"/>
      <c r="LSO810" s="1"/>
      <c r="LSP810" s="1"/>
      <c r="LSQ810" s="1"/>
      <c r="LSR810" s="1"/>
      <c r="LSS810" s="1"/>
      <c r="LST810" s="1"/>
      <c r="LSU810" s="1"/>
      <c r="LSV810" s="41"/>
      <c r="LSW810" s="1"/>
      <c r="LSX810" s="1"/>
      <c r="LSY810" s="1"/>
      <c r="LSZ810" s="1">
        <v>100302.53</v>
      </c>
      <c r="LTA810" s="41">
        <f>13095.23+544.5+254739.02</f>
        <v>268378.75</v>
      </c>
      <c r="LTB810" s="1">
        <f t="shared" si="795"/>
        <v>168076.22</v>
      </c>
      <c r="LTC810" s="1">
        <f t="shared" si="796"/>
        <v>268378.75</v>
      </c>
      <c r="LTD810" s="11">
        <v>15320</v>
      </c>
      <c r="LTE810" s="11">
        <v>60900</v>
      </c>
      <c r="LTF810" s="42" t="s">
        <v>937</v>
      </c>
      <c r="LTG810" s="7"/>
      <c r="LTH810" s="7"/>
      <c r="LTI810" s="7"/>
      <c r="LTJ810" s="7"/>
      <c r="LTK810" s="7"/>
      <c r="LTL810" s="1"/>
      <c r="LTM810" s="1"/>
      <c r="LTN810" s="1"/>
      <c r="LTO810" s="1"/>
      <c r="LTP810" s="7"/>
      <c r="LTQ810" s="1"/>
      <c r="LTR810" s="1"/>
      <c r="LTS810" s="1"/>
      <c r="LTT810" s="1"/>
      <c r="LTU810" s="1"/>
      <c r="LTV810" s="1"/>
      <c r="LTW810" s="1"/>
      <c r="LTX810" s="1"/>
      <c r="LTY810" s="1"/>
      <c r="LTZ810" s="1"/>
      <c r="LUA810" s="1"/>
      <c r="LUB810" s="41"/>
      <c r="LUC810" s="1"/>
      <c r="LUD810" s="1"/>
      <c r="LUE810" s="1"/>
      <c r="LUF810" s="1">
        <v>100302.53</v>
      </c>
      <c r="LUG810" s="41">
        <f>13095.23+544.5+254739.02</f>
        <v>268378.75</v>
      </c>
      <c r="LUH810" s="1">
        <f t="shared" ref="LUH810:LVN810" si="797">LUG810-LUF810</f>
        <v>168076.22</v>
      </c>
      <c r="LUI810" s="1">
        <f t="shared" ref="LUI810:LVO810" si="798">LUF810+LUH810</f>
        <v>268378.75</v>
      </c>
      <c r="LUJ810" s="11">
        <v>15320</v>
      </c>
      <c r="LUK810" s="11">
        <v>60900</v>
      </c>
      <c r="LUL810" s="42" t="s">
        <v>937</v>
      </c>
      <c r="LUM810" s="7"/>
      <c r="LUN810" s="7"/>
      <c r="LUO810" s="7"/>
      <c r="LUP810" s="7"/>
      <c r="LUQ810" s="7"/>
      <c r="LUR810" s="1"/>
      <c r="LUS810" s="1"/>
      <c r="LUT810" s="1"/>
      <c r="LUU810" s="1"/>
      <c r="LUV810" s="7"/>
      <c r="LUW810" s="1"/>
      <c r="LUX810" s="1"/>
      <c r="LUY810" s="1"/>
      <c r="LUZ810" s="1"/>
      <c r="LVA810" s="1"/>
      <c r="LVB810" s="1"/>
      <c r="LVC810" s="1"/>
      <c r="LVD810" s="1"/>
      <c r="LVE810" s="1"/>
      <c r="LVF810" s="1"/>
      <c r="LVG810" s="1"/>
      <c r="LVH810" s="41"/>
      <c r="LVI810" s="1"/>
      <c r="LVJ810" s="1"/>
      <c r="LVK810" s="1"/>
      <c r="LVL810" s="1">
        <v>100302.53</v>
      </c>
      <c r="LVM810" s="41">
        <f>13095.23+544.5+254739.02</f>
        <v>268378.75</v>
      </c>
      <c r="LVN810" s="1">
        <f t="shared" si="797"/>
        <v>168076.22</v>
      </c>
      <c r="LVO810" s="1">
        <f t="shared" si="798"/>
        <v>268378.75</v>
      </c>
      <c r="LVP810" s="11">
        <v>15320</v>
      </c>
      <c r="LVQ810" s="11">
        <v>60900</v>
      </c>
      <c r="LVR810" s="42" t="s">
        <v>937</v>
      </c>
      <c r="LVS810" s="7"/>
      <c r="LVT810" s="7"/>
      <c r="LVU810" s="7"/>
      <c r="LVV810" s="7"/>
      <c r="LVW810" s="7"/>
      <c r="LVX810" s="1"/>
      <c r="LVY810" s="1"/>
      <c r="LVZ810" s="1"/>
      <c r="LWA810" s="1"/>
      <c r="LWB810" s="7"/>
      <c r="LWC810" s="1"/>
      <c r="LWD810" s="1"/>
      <c r="LWE810" s="1"/>
      <c r="LWF810" s="1"/>
      <c r="LWG810" s="1"/>
      <c r="LWH810" s="1"/>
      <c r="LWI810" s="1"/>
      <c r="LWJ810" s="1"/>
      <c r="LWK810" s="1"/>
      <c r="LWL810" s="1"/>
      <c r="LWM810" s="1"/>
      <c r="LWN810" s="41"/>
      <c r="LWO810" s="1"/>
      <c r="LWP810" s="1"/>
      <c r="LWQ810" s="1"/>
      <c r="LWR810" s="1">
        <v>100302.53</v>
      </c>
      <c r="LWS810" s="41">
        <f>13095.23+544.5+254739.02</f>
        <v>268378.75</v>
      </c>
      <c r="LWT810" s="1">
        <f t="shared" ref="LWT810:LXZ810" si="799">LWS810-LWR810</f>
        <v>168076.22</v>
      </c>
      <c r="LWU810" s="1">
        <f t="shared" ref="LWU810:LYA810" si="800">LWR810+LWT810</f>
        <v>268378.75</v>
      </c>
      <c r="LWV810" s="11">
        <v>15320</v>
      </c>
      <c r="LWW810" s="11">
        <v>60900</v>
      </c>
      <c r="LWX810" s="42" t="s">
        <v>937</v>
      </c>
      <c r="LWY810" s="7"/>
      <c r="LWZ810" s="7"/>
      <c r="LXA810" s="7"/>
      <c r="LXB810" s="7"/>
      <c r="LXC810" s="7"/>
      <c r="LXD810" s="1"/>
      <c r="LXE810" s="1"/>
      <c r="LXF810" s="1"/>
      <c r="LXG810" s="1"/>
      <c r="LXH810" s="7"/>
      <c r="LXI810" s="1"/>
      <c r="LXJ810" s="1"/>
      <c r="LXK810" s="1"/>
      <c r="LXL810" s="1"/>
      <c r="LXM810" s="1"/>
      <c r="LXN810" s="1"/>
      <c r="LXO810" s="1"/>
      <c r="LXP810" s="1"/>
      <c r="LXQ810" s="1"/>
      <c r="LXR810" s="1"/>
      <c r="LXS810" s="1"/>
      <c r="LXT810" s="41"/>
      <c r="LXU810" s="1"/>
      <c r="LXV810" s="1"/>
      <c r="LXW810" s="1"/>
      <c r="LXX810" s="1">
        <v>100302.53</v>
      </c>
      <c r="LXY810" s="41">
        <f>13095.23+544.5+254739.02</f>
        <v>268378.75</v>
      </c>
      <c r="LXZ810" s="1">
        <f t="shared" si="799"/>
        <v>168076.22</v>
      </c>
      <c r="LYA810" s="1">
        <f t="shared" si="800"/>
        <v>268378.75</v>
      </c>
      <c r="LYB810" s="11">
        <v>15320</v>
      </c>
      <c r="LYC810" s="11">
        <v>60900</v>
      </c>
      <c r="LYD810" s="42" t="s">
        <v>937</v>
      </c>
      <c r="LYE810" s="7"/>
      <c r="LYF810" s="7"/>
      <c r="LYG810" s="7"/>
      <c r="LYH810" s="7"/>
      <c r="LYI810" s="7"/>
      <c r="LYJ810" s="1"/>
      <c r="LYK810" s="1"/>
      <c r="LYL810" s="1"/>
      <c r="LYM810" s="1"/>
      <c r="LYN810" s="7"/>
      <c r="LYO810" s="1"/>
      <c r="LYP810" s="1"/>
      <c r="LYQ810" s="1"/>
      <c r="LYR810" s="1"/>
      <c r="LYS810" s="1"/>
      <c r="LYT810" s="1"/>
      <c r="LYU810" s="1"/>
      <c r="LYV810" s="1"/>
      <c r="LYW810" s="1"/>
      <c r="LYX810" s="1"/>
      <c r="LYY810" s="1"/>
      <c r="LYZ810" s="41"/>
      <c r="LZA810" s="1"/>
      <c r="LZB810" s="1"/>
      <c r="LZC810" s="1"/>
      <c r="LZD810" s="1">
        <v>100302.53</v>
      </c>
      <c r="LZE810" s="41">
        <f>13095.23+544.5+254739.02</f>
        <v>268378.75</v>
      </c>
      <c r="LZF810" s="1">
        <f t="shared" ref="LZF810:MAL810" si="801">LZE810-LZD810</f>
        <v>168076.22</v>
      </c>
      <c r="LZG810" s="1">
        <f t="shared" ref="LZG810:MAM810" si="802">LZD810+LZF810</f>
        <v>268378.75</v>
      </c>
      <c r="LZH810" s="11">
        <v>15320</v>
      </c>
      <c r="LZI810" s="11">
        <v>60900</v>
      </c>
      <c r="LZJ810" s="42" t="s">
        <v>937</v>
      </c>
      <c r="LZK810" s="7"/>
      <c r="LZL810" s="7"/>
      <c r="LZM810" s="7"/>
      <c r="LZN810" s="7"/>
      <c r="LZO810" s="7"/>
      <c r="LZP810" s="1"/>
      <c r="LZQ810" s="1"/>
      <c r="LZR810" s="1"/>
      <c r="LZS810" s="1"/>
      <c r="LZT810" s="7"/>
      <c r="LZU810" s="1"/>
      <c r="LZV810" s="1"/>
      <c r="LZW810" s="1"/>
      <c r="LZX810" s="1"/>
      <c r="LZY810" s="1"/>
      <c r="LZZ810" s="1"/>
      <c r="MAA810" s="1"/>
      <c r="MAB810" s="1"/>
      <c r="MAC810" s="1"/>
      <c r="MAD810" s="1"/>
      <c r="MAE810" s="1"/>
      <c r="MAF810" s="41"/>
      <c r="MAG810" s="1"/>
      <c r="MAH810" s="1"/>
      <c r="MAI810" s="1"/>
      <c r="MAJ810" s="1">
        <v>100302.53</v>
      </c>
      <c r="MAK810" s="41">
        <f>13095.23+544.5+254739.02</f>
        <v>268378.75</v>
      </c>
      <c r="MAL810" s="1">
        <f t="shared" si="801"/>
        <v>168076.22</v>
      </c>
      <c r="MAM810" s="1">
        <f t="shared" si="802"/>
        <v>268378.75</v>
      </c>
      <c r="MAN810" s="11">
        <v>15320</v>
      </c>
      <c r="MAO810" s="11">
        <v>60900</v>
      </c>
      <c r="MAP810" s="42" t="s">
        <v>937</v>
      </c>
      <c r="MAQ810" s="7"/>
      <c r="MAR810" s="7"/>
      <c r="MAS810" s="7"/>
      <c r="MAT810" s="7"/>
      <c r="MAU810" s="7"/>
      <c r="MAV810" s="1"/>
      <c r="MAW810" s="1"/>
      <c r="MAX810" s="1"/>
      <c r="MAY810" s="1"/>
      <c r="MAZ810" s="7"/>
      <c r="MBA810" s="1"/>
      <c r="MBB810" s="1"/>
      <c r="MBC810" s="1"/>
      <c r="MBD810" s="1"/>
      <c r="MBE810" s="1"/>
      <c r="MBF810" s="1"/>
      <c r="MBG810" s="1"/>
      <c r="MBH810" s="1"/>
      <c r="MBI810" s="1"/>
      <c r="MBJ810" s="1"/>
      <c r="MBK810" s="1"/>
      <c r="MBL810" s="41"/>
      <c r="MBM810" s="1"/>
      <c r="MBN810" s="1"/>
      <c r="MBO810" s="1"/>
      <c r="MBP810" s="1">
        <v>100302.53</v>
      </c>
      <c r="MBQ810" s="41">
        <f>13095.23+544.5+254739.02</f>
        <v>268378.75</v>
      </c>
      <c r="MBR810" s="1">
        <f t="shared" ref="MBR810:MCX810" si="803">MBQ810-MBP810</f>
        <v>168076.22</v>
      </c>
      <c r="MBS810" s="1">
        <f t="shared" ref="MBS810:MCY810" si="804">MBP810+MBR810</f>
        <v>268378.75</v>
      </c>
      <c r="MBT810" s="11">
        <v>15320</v>
      </c>
      <c r="MBU810" s="11">
        <v>60900</v>
      </c>
      <c r="MBV810" s="42" t="s">
        <v>937</v>
      </c>
      <c r="MBW810" s="7"/>
      <c r="MBX810" s="7"/>
      <c r="MBY810" s="7"/>
      <c r="MBZ810" s="7"/>
      <c r="MCA810" s="7"/>
      <c r="MCB810" s="1"/>
      <c r="MCC810" s="1"/>
      <c r="MCD810" s="1"/>
      <c r="MCE810" s="1"/>
      <c r="MCF810" s="7"/>
      <c r="MCG810" s="1"/>
      <c r="MCH810" s="1"/>
      <c r="MCI810" s="1"/>
      <c r="MCJ810" s="1"/>
      <c r="MCK810" s="1"/>
      <c r="MCL810" s="1"/>
      <c r="MCM810" s="1"/>
      <c r="MCN810" s="1"/>
      <c r="MCO810" s="1"/>
      <c r="MCP810" s="1"/>
      <c r="MCQ810" s="1"/>
      <c r="MCR810" s="41"/>
      <c r="MCS810" s="1"/>
      <c r="MCT810" s="1"/>
      <c r="MCU810" s="1"/>
      <c r="MCV810" s="1">
        <v>100302.53</v>
      </c>
      <c r="MCW810" s="41">
        <f>13095.23+544.5+254739.02</f>
        <v>268378.75</v>
      </c>
      <c r="MCX810" s="1">
        <f t="shared" si="803"/>
        <v>168076.22</v>
      </c>
      <c r="MCY810" s="1">
        <f t="shared" si="804"/>
        <v>268378.75</v>
      </c>
      <c r="MCZ810" s="11">
        <v>15320</v>
      </c>
      <c r="MDA810" s="11">
        <v>60900</v>
      </c>
      <c r="MDB810" s="42" t="s">
        <v>937</v>
      </c>
      <c r="MDC810" s="7"/>
      <c r="MDD810" s="7"/>
      <c r="MDE810" s="7"/>
      <c r="MDF810" s="7"/>
      <c r="MDG810" s="7"/>
      <c r="MDH810" s="1"/>
      <c r="MDI810" s="1"/>
      <c r="MDJ810" s="1"/>
      <c r="MDK810" s="1"/>
      <c r="MDL810" s="7"/>
      <c r="MDM810" s="1"/>
      <c r="MDN810" s="1"/>
      <c r="MDO810" s="1"/>
      <c r="MDP810" s="1"/>
      <c r="MDQ810" s="1"/>
      <c r="MDR810" s="1"/>
      <c r="MDS810" s="1"/>
      <c r="MDT810" s="1"/>
      <c r="MDU810" s="1"/>
      <c r="MDV810" s="1"/>
      <c r="MDW810" s="1"/>
      <c r="MDX810" s="41"/>
      <c r="MDY810" s="1"/>
      <c r="MDZ810" s="1"/>
      <c r="MEA810" s="1"/>
      <c r="MEB810" s="1">
        <v>100302.53</v>
      </c>
      <c r="MEC810" s="41">
        <f>13095.23+544.5+254739.02</f>
        <v>268378.75</v>
      </c>
      <c r="MED810" s="1">
        <f t="shared" ref="MED810:MFJ810" si="805">MEC810-MEB810</f>
        <v>168076.22</v>
      </c>
      <c r="MEE810" s="1">
        <f t="shared" ref="MEE810:MFK810" si="806">MEB810+MED810</f>
        <v>268378.75</v>
      </c>
      <c r="MEF810" s="11">
        <v>15320</v>
      </c>
      <c r="MEG810" s="11">
        <v>60900</v>
      </c>
      <c r="MEH810" s="42" t="s">
        <v>937</v>
      </c>
      <c r="MEI810" s="7"/>
      <c r="MEJ810" s="7"/>
      <c r="MEK810" s="7"/>
      <c r="MEL810" s="7"/>
      <c r="MEM810" s="7"/>
      <c r="MEN810" s="1"/>
      <c r="MEO810" s="1"/>
      <c r="MEP810" s="1"/>
      <c r="MEQ810" s="1"/>
      <c r="MER810" s="7"/>
      <c r="MES810" s="1"/>
      <c r="MET810" s="1"/>
      <c r="MEU810" s="1"/>
      <c r="MEV810" s="1"/>
      <c r="MEW810" s="1"/>
      <c r="MEX810" s="1"/>
      <c r="MEY810" s="1"/>
      <c r="MEZ810" s="1"/>
      <c r="MFA810" s="1"/>
      <c r="MFB810" s="1"/>
      <c r="MFC810" s="1"/>
      <c r="MFD810" s="41"/>
      <c r="MFE810" s="1"/>
      <c r="MFF810" s="1"/>
      <c r="MFG810" s="1"/>
      <c r="MFH810" s="1">
        <v>100302.53</v>
      </c>
      <c r="MFI810" s="41">
        <f>13095.23+544.5+254739.02</f>
        <v>268378.75</v>
      </c>
      <c r="MFJ810" s="1">
        <f t="shared" si="805"/>
        <v>168076.22</v>
      </c>
      <c r="MFK810" s="1">
        <f t="shared" si="806"/>
        <v>268378.75</v>
      </c>
      <c r="MFL810" s="11">
        <v>15320</v>
      </c>
      <c r="MFM810" s="11">
        <v>60900</v>
      </c>
      <c r="MFN810" s="42" t="s">
        <v>937</v>
      </c>
      <c r="MFO810" s="7"/>
      <c r="MFP810" s="7"/>
      <c r="MFQ810" s="7"/>
      <c r="MFR810" s="7"/>
      <c r="MFS810" s="7"/>
      <c r="MFT810" s="1"/>
      <c r="MFU810" s="1"/>
      <c r="MFV810" s="1"/>
      <c r="MFW810" s="1"/>
      <c r="MFX810" s="7"/>
      <c r="MFY810" s="1"/>
      <c r="MFZ810" s="1"/>
      <c r="MGA810" s="1"/>
      <c r="MGB810" s="1"/>
      <c r="MGC810" s="1"/>
      <c r="MGD810" s="1"/>
      <c r="MGE810" s="1"/>
      <c r="MGF810" s="1"/>
      <c r="MGG810" s="1"/>
      <c r="MGH810" s="1"/>
      <c r="MGI810" s="1"/>
      <c r="MGJ810" s="41"/>
      <c r="MGK810" s="1"/>
      <c r="MGL810" s="1"/>
      <c r="MGM810" s="1"/>
      <c r="MGN810" s="1">
        <v>100302.53</v>
      </c>
      <c r="MGO810" s="41">
        <f>13095.23+544.5+254739.02</f>
        <v>268378.75</v>
      </c>
      <c r="MGP810" s="1">
        <f t="shared" ref="MGP810:MHV810" si="807">MGO810-MGN810</f>
        <v>168076.22</v>
      </c>
      <c r="MGQ810" s="1">
        <f t="shared" ref="MGQ810:MHW810" si="808">MGN810+MGP810</f>
        <v>268378.75</v>
      </c>
      <c r="MGR810" s="11">
        <v>15320</v>
      </c>
      <c r="MGS810" s="11">
        <v>60900</v>
      </c>
      <c r="MGT810" s="42" t="s">
        <v>937</v>
      </c>
      <c r="MGU810" s="7"/>
      <c r="MGV810" s="7"/>
      <c r="MGW810" s="7"/>
      <c r="MGX810" s="7"/>
      <c r="MGY810" s="7"/>
      <c r="MGZ810" s="1"/>
      <c r="MHA810" s="1"/>
      <c r="MHB810" s="1"/>
      <c r="MHC810" s="1"/>
      <c r="MHD810" s="7"/>
      <c r="MHE810" s="1"/>
      <c r="MHF810" s="1"/>
      <c r="MHG810" s="1"/>
      <c r="MHH810" s="1"/>
      <c r="MHI810" s="1"/>
      <c r="MHJ810" s="1"/>
      <c r="MHK810" s="1"/>
      <c r="MHL810" s="1"/>
      <c r="MHM810" s="1"/>
      <c r="MHN810" s="1"/>
      <c r="MHO810" s="1"/>
      <c r="MHP810" s="41"/>
      <c r="MHQ810" s="1"/>
      <c r="MHR810" s="1"/>
      <c r="MHS810" s="1"/>
      <c r="MHT810" s="1">
        <v>100302.53</v>
      </c>
      <c r="MHU810" s="41">
        <f>13095.23+544.5+254739.02</f>
        <v>268378.75</v>
      </c>
      <c r="MHV810" s="1">
        <f t="shared" si="807"/>
        <v>168076.22</v>
      </c>
      <c r="MHW810" s="1">
        <f t="shared" si="808"/>
        <v>268378.75</v>
      </c>
      <c r="MHX810" s="11">
        <v>15320</v>
      </c>
      <c r="MHY810" s="11">
        <v>60900</v>
      </c>
      <c r="MHZ810" s="42" t="s">
        <v>937</v>
      </c>
      <c r="MIA810" s="7"/>
      <c r="MIB810" s="7"/>
      <c r="MIC810" s="7"/>
      <c r="MID810" s="7"/>
      <c r="MIE810" s="7"/>
      <c r="MIF810" s="1"/>
      <c r="MIG810" s="1"/>
      <c r="MIH810" s="1"/>
      <c r="MII810" s="1"/>
      <c r="MIJ810" s="7"/>
      <c r="MIK810" s="1"/>
      <c r="MIL810" s="1"/>
      <c r="MIM810" s="1"/>
      <c r="MIN810" s="1"/>
      <c r="MIO810" s="1"/>
      <c r="MIP810" s="1"/>
      <c r="MIQ810" s="1"/>
      <c r="MIR810" s="1"/>
      <c r="MIS810" s="1"/>
      <c r="MIT810" s="1"/>
      <c r="MIU810" s="1"/>
      <c r="MIV810" s="41"/>
      <c r="MIW810" s="1"/>
      <c r="MIX810" s="1"/>
      <c r="MIY810" s="1"/>
      <c r="MIZ810" s="1">
        <v>100302.53</v>
      </c>
      <c r="MJA810" s="41">
        <f>13095.23+544.5+254739.02</f>
        <v>268378.75</v>
      </c>
      <c r="MJB810" s="1">
        <f t="shared" ref="MJB810:MKH810" si="809">MJA810-MIZ810</f>
        <v>168076.22</v>
      </c>
      <c r="MJC810" s="1">
        <f t="shared" ref="MJC810:MKI810" si="810">MIZ810+MJB810</f>
        <v>268378.75</v>
      </c>
      <c r="MJD810" s="11">
        <v>15320</v>
      </c>
      <c r="MJE810" s="11">
        <v>60900</v>
      </c>
      <c r="MJF810" s="42" t="s">
        <v>937</v>
      </c>
      <c r="MJG810" s="7"/>
      <c r="MJH810" s="7"/>
      <c r="MJI810" s="7"/>
      <c r="MJJ810" s="7"/>
      <c r="MJK810" s="7"/>
      <c r="MJL810" s="1"/>
      <c r="MJM810" s="1"/>
      <c r="MJN810" s="1"/>
      <c r="MJO810" s="1"/>
      <c r="MJP810" s="7"/>
      <c r="MJQ810" s="1"/>
      <c r="MJR810" s="1"/>
      <c r="MJS810" s="1"/>
      <c r="MJT810" s="1"/>
      <c r="MJU810" s="1"/>
      <c r="MJV810" s="1"/>
      <c r="MJW810" s="1"/>
      <c r="MJX810" s="1"/>
      <c r="MJY810" s="1"/>
      <c r="MJZ810" s="1"/>
      <c r="MKA810" s="1"/>
      <c r="MKB810" s="41"/>
      <c r="MKC810" s="1"/>
      <c r="MKD810" s="1"/>
      <c r="MKE810" s="1"/>
      <c r="MKF810" s="1">
        <v>100302.53</v>
      </c>
      <c r="MKG810" s="41">
        <f>13095.23+544.5+254739.02</f>
        <v>268378.75</v>
      </c>
      <c r="MKH810" s="1">
        <f t="shared" si="809"/>
        <v>168076.22</v>
      </c>
      <c r="MKI810" s="1">
        <f t="shared" si="810"/>
        <v>268378.75</v>
      </c>
      <c r="MKJ810" s="11">
        <v>15320</v>
      </c>
      <c r="MKK810" s="11">
        <v>60900</v>
      </c>
      <c r="MKL810" s="42" t="s">
        <v>937</v>
      </c>
      <c r="MKM810" s="7"/>
      <c r="MKN810" s="7"/>
      <c r="MKO810" s="7"/>
      <c r="MKP810" s="7"/>
      <c r="MKQ810" s="7"/>
      <c r="MKR810" s="1"/>
      <c r="MKS810" s="1"/>
      <c r="MKT810" s="1"/>
      <c r="MKU810" s="1"/>
      <c r="MKV810" s="7"/>
      <c r="MKW810" s="1"/>
      <c r="MKX810" s="1"/>
      <c r="MKY810" s="1"/>
      <c r="MKZ810" s="1"/>
      <c r="MLA810" s="1"/>
      <c r="MLB810" s="1"/>
      <c r="MLC810" s="1"/>
      <c r="MLD810" s="1"/>
      <c r="MLE810" s="1"/>
      <c r="MLF810" s="1"/>
      <c r="MLG810" s="1"/>
      <c r="MLH810" s="41"/>
      <c r="MLI810" s="1"/>
      <c r="MLJ810" s="1"/>
      <c r="MLK810" s="1"/>
      <c r="MLL810" s="1">
        <v>100302.53</v>
      </c>
      <c r="MLM810" s="41">
        <f>13095.23+544.5+254739.02</f>
        <v>268378.75</v>
      </c>
      <c r="MLN810" s="1">
        <f t="shared" ref="MLN810:MMT810" si="811">MLM810-MLL810</f>
        <v>168076.22</v>
      </c>
      <c r="MLO810" s="1">
        <f t="shared" ref="MLO810:MMU810" si="812">MLL810+MLN810</f>
        <v>268378.75</v>
      </c>
      <c r="MLP810" s="11">
        <v>15320</v>
      </c>
      <c r="MLQ810" s="11">
        <v>60900</v>
      </c>
      <c r="MLR810" s="42" t="s">
        <v>937</v>
      </c>
      <c r="MLS810" s="7"/>
      <c r="MLT810" s="7"/>
      <c r="MLU810" s="7"/>
      <c r="MLV810" s="7"/>
      <c r="MLW810" s="7"/>
      <c r="MLX810" s="1"/>
      <c r="MLY810" s="1"/>
      <c r="MLZ810" s="1"/>
      <c r="MMA810" s="1"/>
      <c r="MMB810" s="7"/>
      <c r="MMC810" s="1"/>
      <c r="MMD810" s="1"/>
      <c r="MME810" s="1"/>
      <c r="MMF810" s="1"/>
      <c r="MMG810" s="1"/>
      <c r="MMH810" s="1"/>
      <c r="MMI810" s="1"/>
      <c r="MMJ810" s="1"/>
      <c r="MMK810" s="1"/>
      <c r="MML810" s="1"/>
      <c r="MMM810" s="1"/>
      <c r="MMN810" s="41"/>
      <c r="MMO810" s="1"/>
      <c r="MMP810" s="1"/>
      <c r="MMQ810" s="1"/>
      <c r="MMR810" s="1">
        <v>100302.53</v>
      </c>
      <c r="MMS810" s="41">
        <f>13095.23+544.5+254739.02</f>
        <v>268378.75</v>
      </c>
      <c r="MMT810" s="1">
        <f t="shared" si="811"/>
        <v>168076.22</v>
      </c>
      <c r="MMU810" s="1">
        <f t="shared" si="812"/>
        <v>268378.75</v>
      </c>
      <c r="MMV810" s="11">
        <v>15320</v>
      </c>
      <c r="MMW810" s="11">
        <v>60900</v>
      </c>
      <c r="MMX810" s="42" t="s">
        <v>937</v>
      </c>
      <c r="MMY810" s="7"/>
      <c r="MMZ810" s="7"/>
      <c r="MNA810" s="7"/>
      <c r="MNB810" s="7"/>
      <c r="MNC810" s="7"/>
      <c r="MND810" s="1"/>
      <c r="MNE810" s="1"/>
      <c r="MNF810" s="1"/>
      <c r="MNG810" s="1"/>
      <c r="MNH810" s="7"/>
      <c r="MNI810" s="1"/>
      <c r="MNJ810" s="1"/>
      <c r="MNK810" s="1"/>
      <c r="MNL810" s="1"/>
      <c r="MNM810" s="1"/>
      <c r="MNN810" s="1"/>
      <c r="MNO810" s="1"/>
      <c r="MNP810" s="1"/>
      <c r="MNQ810" s="1"/>
      <c r="MNR810" s="1"/>
      <c r="MNS810" s="1"/>
      <c r="MNT810" s="41"/>
      <c r="MNU810" s="1"/>
      <c r="MNV810" s="1"/>
      <c r="MNW810" s="1"/>
      <c r="MNX810" s="1">
        <v>100302.53</v>
      </c>
      <c r="MNY810" s="41">
        <f>13095.23+544.5+254739.02</f>
        <v>268378.75</v>
      </c>
      <c r="MNZ810" s="1">
        <f t="shared" ref="MNZ810:MPF810" si="813">MNY810-MNX810</f>
        <v>168076.22</v>
      </c>
      <c r="MOA810" s="1">
        <f t="shared" ref="MOA810:MPG810" si="814">MNX810+MNZ810</f>
        <v>268378.75</v>
      </c>
      <c r="MOB810" s="11">
        <v>15320</v>
      </c>
      <c r="MOC810" s="11">
        <v>60900</v>
      </c>
      <c r="MOD810" s="42" t="s">
        <v>937</v>
      </c>
      <c r="MOE810" s="7"/>
      <c r="MOF810" s="7"/>
      <c r="MOG810" s="7"/>
      <c r="MOH810" s="7"/>
      <c r="MOI810" s="7"/>
      <c r="MOJ810" s="1"/>
      <c r="MOK810" s="1"/>
      <c r="MOL810" s="1"/>
      <c r="MOM810" s="1"/>
      <c r="MON810" s="7"/>
      <c r="MOO810" s="1"/>
      <c r="MOP810" s="1"/>
      <c r="MOQ810" s="1"/>
      <c r="MOR810" s="1"/>
      <c r="MOS810" s="1"/>
      <c r="MOT810" s="1"/>
      <c r="MOU810" s="1"/>
      <c r="MOV810" s="1"/>
      <c r="MOW810" s="1"/>
      <c r="MOX810" s="1"/>
      <c r="MOY810" s="1"/>
      <c r="MOZ810" s="41"/>
      <c r="MPA810" s="1"/>
      <c r="MPB810" s="1"/>
      <c r="MPC810" s="1"/>
      <c r="MPD810" s="1">
        <v>100302.53</v>
      </c>
      <c r="MPE810" s="41">
        <f>13095.23+544.5+254739.02</f>
        <v>268378.75</v>
      </c>
      <c r="MPF810" s="1">
        <f t="shared" si="813"/>
        <v>168076.22</v>
      </c>
      <c r="MPG810" s="1">
        <f t="shared" si="814"/>
        <v>268378.75</v>
      </c>
      <c r="MPH810" s="11">
        <v>15320</v>
      </c>
      <c r="MPI810" s="11">
        <v>60900</v>
      </c>
      <c r="MPJ810" s="42" t="s">
        <v>937</v>
      </c>
      <c r="MPK810" s="7"/>
      <c r="MPL810" s="7"/>
      <c r="MPM810" s="7"/>
      <c r="MPN810" s="7"/>
      <c r="MPO810" s="7"/>
      <c r="MPP810" s="1"/>
      <c r="MPQ810" s="1"/>
      <c r="MPR810" s="1"/>
      <c r="MPS810" s="1"/>
      <c r="MPT810" s="7"/>
      <c r="MPU810" s="1"/>
      <c r="MPV810" s="1"/>
      <c r="MPW810" s="1"/>
      <c r="MPX810" s="1"/>
      <c r="MPY810" s="1"/>
      <c r="MPZ810" s="1"/>
      <c r="MQA810" s="1"/>
      <c r="MQB810" s="1"/>
      <c r="MQC810" s="1"/>
      <c r="MQD810" s="1"/>
      <c r="MQE810" s="1"/>
      <c r="MQF810" s="41"/>
      <c r="MQG810" s="1"/>
      <c r="MQH810" s="1"/>
      <c r="MQI810" s="1"/>
      <c r="MQJ810" s="1">
        <v>100302.53</v>
      </c>
      <c r="MQK810" s="41">
        <f>13095.23+544.5+254739.02</f>
        <v>268378.75</v>
      </c>
      <c r="MQL810" s="1">
        <f t="shared" ref="MQL810:MRR810" si="815">MQK810-MQJ810</f>
        <v>168076.22</v>
      </c>
      <c r="MQM810" s="1">
        <f t="shared" ref="MQM810:MRS810" si="816">MQJ810+MQL810</f>
        <v>268378.75</v>
      </c>
      <c r="MQN810" s="11">
        <v>15320</v>
      </c>
      <c r="MQO810" s="11">
        <v>60900</v>
      </c>
      <c r="MQP810" s="42" t="s">
        <v>937</v>
      </c>
      <c r="MQQ810" s="7"/>
      <c r="MQR810" s="7"/>
      <c r="MQS810" s="7"/>
      <c r="MQT810" s="7"/>
      <c r="MQU810" s="7"/>
      <c r="MQV810" s="1"/>
      <c r="MQW810" s="1"/>
      <c r="MQX810" s="1"/>
      <c r="MQY810" s="1"/>
      <c r="MQZ810" s="7"/>
      <c r="MRA810" s="1"/>
      <c r="MRB810" s="1"/>
      <c r="MRC810" s="1"/>
      <c r="MRD810" s="1"/>
      <c r="MRE810" s="1"/>
      <c r="MRF810" s="1"/>
      <c r="MRG810" s="1"/>
      <c r="MRH810" s="1"/>
      <c r="MRI810" s="1"/>
      <c r="MRJ810" s="1"/>
      <c r="MRK810" s="1"/>
      <c r="MRL810" s="41"/>
      <c r="MRM810" s="1"/>
      <c r="MRN810" s="1"/>
      <c r="MRO810" s="1"/>
      <c r="MRP810" s="1">
        <v>100302.53</v>
      </c>
      <c r="MRQ810" s="41">
        <f>13095.23+544.5+254739.02</f>
        <v>268378.75</v>
      </c>
      <c r="MRR810" s="1">
        <f t="shared" si="815"/>
        <v>168076.22</v>
      </c>
      <c r="MRS810" s="1">
        <f t="shared" si="816"/>
        <v>268378.75</v>
      </c>
      <c r="MRT810" s="11">
        <v>15320</v>
      </c>
      <c r="MRU810" s="11">
        <v>60900</v>
      </c>
      <c r="MRV810" s="42" t="s">
        <v>937</v>
      </c>
      <c r="MRW810" s="7"/>
      <c r="MRX810" s="7"/>
      <c r="MRY810" s="7"/>
      <c r="MRZ810" s="7"/>
      <c r="MSA810" s="7"/>
      <c r="MSB810" s="1"/>
      <c r="MSC810" s="1"/>
      <c r="MSD810" s="1"/>
      <c r="MSE810" s="1"/>
      <c r="MSF810" s="7"/>
      <c r="MSG810" s="1"/>
      <c r="MSH810" s="1"/>
      <c r="MSI810" s="1"/>
      <c r="MSJ810" s="1"/>
      <c r="MSK810" s="1"/>
      <c r="MSL810" s="1"/>
      <c r="MSM810" s="1"/>
      <c r="MSN810" s="1"/>
      <c r="MSO810" s="1"/>
      <c r="MSP810" s="1"/>
      <c r="MSQ810" s="1"/>
      <c r="MSR810" s="41"/>
      <c r="MSS810" s="1"/>
      <c r="MST810" s="1"/>
      <c r="MSU810" s="1"/>
      <c r="MSV810" s="1">
        <v>100302.53</v>
      </c>
      <c r="MSW810" s="41">
        <f>13095.23+544.5+254739.02</f>
        <v>268378.75</v>
      </c>
      <c r="MSX810" s="1">
        <f t="shared" ref="MSX810:MUD810" si="817">MSW810-MSV810</f>
        <v>168076.22</v>
      </c>
      <c r="MSY810" s="1">
        <f t="shared" ref="MSY810:MUE810" si="818">MSV810+MSX810</f>
        <v>268378.75</v>
      </c>
      <c r="MSZ810" s="11">
        <v>15320</v>
      </c>
      <c r="MTA810" s="11">
        <v>60900</v>
      </c>
      <c r="MTB810" s="42" t="s">
        <v>937</v>
      </c>
      <c r="MTC810" s="7"/>
      <c r="MTD810" s="7"/>
      <c r="MTE810" s="7"/>
      <c r="MTF810" s="7"/>
      <c r="MTG810" s="7"/>
      <c r="MTH810" s="1"/>
      <c r="MTI810" s="1"/>
      <c r="MTJ810" s="1"/>
      <c r="MTK810" s="1"/>
      <c r="MTL810" s="7"/>
      <c r="MTM810" s="1"/>
      <c r="MTN810" s="1"/>
      <c r="MTO810" s="1"/>
      <c r="MTP810" s="1"/>
      <c r="MTQ810" s="1"/>
      <c r="MTR810" s="1"/>
      <c r="MTS810" s="1"/>
      <c r="MTT810" s="1"/>
      <c r="MTU810" s="1"/>
      <c r="MTV810" s="1"/>
      <c r="MTW810" s="1"/>
      <c r="MTX810" s="41"/>
      <c r="MTY810" s="1"/>
      <c r="MTZ810" s="1"/>
      <c r="MUA810" s="1"/>
      <c r="MUB810" s="1">
        <v>100302.53</v>
      </c>
      <c r="MUC810" s="41">
        <f>13095.23+544.5+254739.02</f>
        <v>268378.75</v>
      </c>
      <c r="MUD810" s="1">
        <f t="shared" si="817"/>
        <v>168076.22</v>
      </c>
      <c r="MUE810" s="1">
        <f t="shared" si="818"/>
        <v>268378.75</v>
      </c>
      <c r="MUF810" s="11">
        <v>15320</v>
      </c>
      <c r="MUG810" s="11">
        <v>60900</v>
      </c>
      <c r="MUH810" s="42" t="s">
        <v>937</v>
      </c>
      <c r="MUI810" s="7"/>
      <c r="MUJ810" s="7"/>
      <c r="MUK810" s="7"/>
      <c r="MUL810" s="7"/>
      <c r="MUM810" s="7"/>
      <c r="MUN810" s="1"/>
      <c r="MUO810" s="1"/>
      <c r="MUP810" s="1"/>
      <c r="MUQ810" s="1"/>
      <c r="MUR810" s="7"/>
      <c r="MUS810" s="1"/>
      <c r="MUT810" s="1"/>
      <c r="MUU810" s="1"/>
      <c r="MUV810" s="1"/>
      <c r="MUW810" s="1"/>
      <c r="MUX810" s="1"/>
      <c r="MUY810" s="1"/>
      <c r="MUZ810" s="1"/>
      <c r="MVA810" s="1"/>
      <c r="MVB810" s="1"/>
      <c r="MVC810" s="1"/>
      <c r="MVD810" s="41"/>
      <c r="MVE810" s="1"/>
      <c r="MVF810" s="1"/>
      <c r="MVG810" s="1"/>
      <c r="MVH810" s="1">
        <v>100302.53</v>
      </c>
      <c r="MVI810" s="41">
        <f>13095.23+544.5+254739.02</f>
        <v>268378.75</v>
      </c>
      <c r="MVJ810" s="1">
        <f t="shared" ref="MVJ810:MWP810" si="819">MVI810-MVH810</f>
        <v>168076.22</v>
      </c>
      <c r="MVK810" s="1">
        <f t="shared" ref="MVK810:MWQ810" si="820">MVH810+MVJ810</f>
        <v>268378.75</v>
      </c>
      <c r="MVL810" s="11">
        <v>15320</v>
      </c>
      <c r="MVM810" s="11">
        <v>60900</v>
      </c>
      <c r="MVN810" s="42" t="s">
        <v>937</v>
      </c>
      <c r="MVO810" s="7"/>
      <c r="MVP810" s="7"/>
      <c r="MVQ810" s="7"/>
      <c r="MVR810" s="7"/>
      <c r="MVS810" s="7"/>
      <c r="MVT810" s="1"/>
      <c r="MVU810" s="1"/>
      <c r="MVV810" s="1"/>
      <c r="MVW810" s="1"/>
      <c r="MVX810" s="7"/>
      <c r="MVY810" s="1"/>
      <c r="MVZ810" s="1"/>
      <c r="MWA810" s="1"/>
      <c r="MWB810" s="1"/>
      <c r="MWC810" s="1"/>
      <c r="MWD810" s="1"/>
      <c r="MWE810" s="1"/>
      <c r="MWF810" s="1"/>
      <c r="MWG810" s="1"/>
      <c r="MWH810" s="1"/>
      <c r="MWI810" s="1"/>
      <c r="MWJ810" s="41"/>
      <c r="MWK810" s="1"/>
      <c r="MWL810" s="1"/>
      <c r="MWM810" s="1"/>
      <c r="MWN810" s="1">
        <v>100302.53</v>
      </c>
      <c r="MWO810" s="41">
        <f>13095.23+544.5+254739.02</f>
        <v>268378.75</v>
      </c>
      <c r="MWP810" s="1">
        <f t="shared" si="819"/>
        <v>168076.22</v>
      </c>
      <c r="MWQ810" s="1">
        <f t="shared" si="820"/>
        <v>268378.75</v>
      </c>
      <c r="MWR810" s="11">
        <v>15320</v>
      </c>
      <c r="MWS810" s="11">
        <v>60900</v>
      </c>
      <c r="MWT810" s="42" t="s">
        <v>937</v>
      </c>
      <c r="MWU810" s="7"/>
      <c r="MWV810" s="7"/>
      <c r="MWW810" s="7"/>
      <c r="MWX810" s="7"/>
      <c r="MWY810" s="7"/>
      <c r="MWZ810" s="1"/>
      <c r="MXA810" s="1"/>
      <c r="MXB810" s="1"/>
      <c r="MXC810" s="1"/>
      <c r="MXD810" s="7"/>
      <c r="MXE810" s="1"/>
      <c r="MXF810" s="1"/>
      <c r="MXG810" s="1"/>
      <c r="MXH810" s="1"/>
      <c r="MXI810" s="1"/>
      <c r="MXJ810" s="1"/>
      <c r="MXK810" s="1"/>
      <c r="MXL810" s="1"/>
      <c r="MXM810" s="1"/>
      <c r="MXN810" s="1"/>
      <c r="MXO810" s="1"/>
      <c r="MXP810" s="41"/>
      <c r="MXQ810" s="1"/>
      <c r="MXR810" s="1"/>
      <c r="MXS810" s="1"/>
      <c r="MXT810" s="1">
        <v>100302.53</v>
      </c>
      <c r="MXU810" s="41">
        <f>13095.23+544.5+254739.02</f>
        <v>268378.75</v>
      </c>
      <c r="MXV810" s="1">
        <f t="shared" ref="MXV810:MZB810" si="821">MXU810-MXT810</f>
        <v>168076.22</v>
      </c>
      <c r="MXW810" s="1">
        <f t="shared" ref="MXW810:MZC810" si="822">MXT810+MXV810</f>
        <v>268378.75</v>
      </c>
      <c r="MXX810" s="11">
        <v>15320</v>
      </c>
      <c r="MXY810" s="11">
        <v>60900</v>
      </c>
      <c r="MXZ810" s="42" t="s">
        <v>937</v>
      </c>
      <c r="MYA810" s="7"/>
      <c r="MYB810" s="7"/>
      <c r="MYC810" s="7"/>
      <c r="MYD810" s="7"/>
      <c r="MYE810" s="7"/>
      <c r="MYF810" s="1"/>
      <c r="MYG810" s="1"/>
      <c r="MYH810" s="1"/>
      <c r="MYI810" s="1"/>
      <c r="MYJ810" s="7"/>
      <c r="MYK810" s="1"/>
      <c r="MYL810" s="1"/>
      <c r="MYM810" s="1"/>
      <c r="MYN810" s="1"/>
      <c r="MYO810" s="1"/>
      <c r="MYP810" s="1"/>
      <c r="MYQ810" s="1"/>
      <c r="MYR810" s="1"/>
      <c r="MYS810" s="1"/>
      <c r="MYT810" s="1"/>
      <c r="MYU810" s="1"/>
      <c r="MYV810" s="41"/>
      <c r="MYW810" s="1"/>
      <c r="MYX810" s="1"/>
      <c r="MYY810" s="1"/>
      <c r="MYZ810" s="1">
        <v>100302.53</v>
      </c>
      <c r="MZA810" s="41">
        <f>13095.23+544.5+254739.02</f>
        <v>268378.75</v>
      </c>
      <c r="MZB810" s="1">
        <f t="shared" si="821"/>
        <v>168076.22</v>
      </c>
      <c r="MZC810" s="1">
        <f t="shared" si="822"/>
        <v>268378.75</v>
      </c>
      <c r="MZD810" s="11">
        <v>15320</v>
      </c>
      <c r="MZE810" s="11">
        <v>60900</v>
      </c>
      <c r="MZF810" s="42" t="s">
        <v>937</v>
      </c>
      <c r="MZG810" s="7"/>
      <c r="MZH810" s="7"/>
      <c r="MZI810" s="7"/>
      <c r="MZJ810" s="7"/>
      <c r="MZK810" s="7"/>
      <c r="MZL810" s="1"/>
      <c r="MZM810" s="1"/>
      <c r="MZN810" s="1"/>
      <c r="MZO810" s="1"/>
      <c r="MZP810" s="7"/>
      <c r="MZQ810" s="1"/>
      <c r="MZR810" s="1"/>
      <c r="MZS810" s="1"/>
      <c r="MZT810" s="1"/>
      <c r="MZU810" s="1"/>
      <c r="MZV810" s="1"/>
      <c r="MZW810" s="1"/>
      <c r="MZX810" s="1"/>
      <c r="MZY810" s="1"/>
      <c r="MZZ810" s="1"/>
      <c r="NAA810" s="1"/>
      <c r="NAB810" s="41"/>
      <c r="NAC810" s="1"/>
      <c r="NAD810" s="1"/>
      <c r="NAE810" s="1"/>
      <c r="NAF810" s="1">
        <v>100302.53</v>
      </c>
      <c r="NAG810" s="41">
        <f>13095.23+544.5+254739.02</f>
        <v>268378.75</v>
      </c>
      <c r="NAH810" s="1">
        <f t="shared" ref="NAH810:NBN810" si="823">NAG810-NAF810</f>
        <v>168076.22</v>
      </c>
      <c r="NAI810" s="1">
        <f t="shared" ref="NAI810:NBO810" si="824">NAF810+NAH810</f>
        <v>268378.75</v>
      </c>
      <c r="NAJ810" s="11">
        <v>15320</v>
      </c>
      <c r="NAK810" s="11">
        <v>60900</v>
      </c>
      <c r="NAL810" s="42" t="s">
        <v>937</v>
      </c>
      <c r="NAM810" s="7"/>
      <c r="NAN810" s="7"/>
      <c r="NAO810" s="7"/>
      <c r="NAP810" s="7"/>
      <c r="NAQ810" s="7"/>
      <c r="NAR810" s="1"/>
      <c r="NAS810" s="1"/>
      <c r="NAT810" s="1"/>
      <c r="NAU810" s="1"/>
      <c r="NAV810" s="7"/>
      <c r="NAW810" s="1"/>
      <c r="NAX810" s="1"/>
      <c r="NAY810" s="1"/>
      <c r="NAZ810" s="1"/>
      <c r="NBA810" s="1"/>
      <c r="NBB810" s="1"/>
      <c r="NBC810" s="1"/>
      <c r="NBD810" s="1"/>
      <c r="NBE810" s="1"/>
      <c r="NBF810" s="1"/>
      <c r="NBG810" s="1"/>
      <c r="NBH810" s="41"/>
      <c r="NBI810" s="1"/>
      <c r="NBJ810" s="1"/>
      <c r="NBK810" s="1"/>
      <c r="NBL810" s="1">
        <v>100302.53</v>
      </c>
      <c r="NBM810" s="41">
        <f>13095.23+544.5+254739.02</f>
        <v>268378.75</v>
      </c>
      <c r="NBN810" s="1">
        <f t="shared" si="823"/>
        <v>168076.22</v>
      </c>
      <c r="NBO810" s="1">
        <f t="shared" si="824"/>
        <v>268378.75</v>
      </c>
      <c r="NBP810" s="11">
        <v>15320</v>
      </c>
      <c r="NBQ810" s="11">
        <v>60900</v>
      </c>
      <c r="NBR810" s="42" t="s">
        <v>937</v>
      </c>
      <c r="NBS810" s="7"/>
      <c r="NBT810" s="7"/>
      <c r="NBU810" s="7"/>
      <c r="NBV810" s="7"/>
      <c r="NBW810" s="7"/>
      <c r="NBX810" s="1"/>
      <c r="NBY810" s="1"/>
      <c r="NBZ810" s="1"/>
      <c r="NCA810" s="1"/>
      <c r="NCB810" s="7"/>
      <c r="NCC810" s="1"/>
      <c r="NCD810" s="1"/>
      <c r="NCE810" s="1"/>
      <c r="NCF810" s="1"/>
      <c r="NCG810" s="1"/>
      <c r="NCH810" s="1"/>
      <c r="NCI810" s="1"/>
      <c r="NCJ810" s="1"/>
      <c r="NCK810" s="1"/>
      <c r="NCL810" s="1"/>
      <c r="NCM810" s="1"/>
      <c r="NCN810" s="41"/>
      <c r="NCO810" s="1"/>
      <c r="NCP810" s="1"/>
      <c r="NCQ810" s="1"/>
      <c r="NCR810" s="1">
        <v>100302.53</v>
      </c>
      <c r="NCS810" s="41">
        <f>13095.23+544.5+254739.02</f>
        <v>268378.75</v>
      </c>
      <c r="NCT810" s="1">
        <f t="shared" ref="NCT810:NDZ810" si="825">NCS810-NCR810</f>
        <v>168076.22</v>
      </c>
      <c r="NCU810" s="1">
        <f t="shared" ref="NCU810:NEA810" si="826">NCR810+NCT810</f>
        <v>268378.75</v>
      </c>
      <c r="NCV810" s="11">
        <v>15320</v>
      </c>
      <c r="NCW810" s="11">
        <v>60900</v>
      </c>
      <c r="NCX810" s="42" t="s">
        <v>937</v>
      </c>
      <c r="NCY810" s="7"/>
      <c r="NCZ810" s="7"/>
      <c r="NDA810" s="7"/>
      <c r="NDB810" s="7"/>
      <c r="NDC810" s="7"/>
      <c r="NDD810" s="1"/>
      <c r="NDE810" s="1"/>
      <c r="NDF810" s="1"/>
      <c r="NDG810" s="1"/>
      <c r="NDH810" s="7"/>
      <c r="NDI810" s="1"/>
      <c r="NDJ810" s="1"/>
      <c r="NDK810" s="1"/>
      <c r="NDL810" s="1"/>
      <c r="NDM810" s="1"/>
      <c r="NDN810" s="1"/>
      <c r="NDO810" s="1"/>
      <c r="NDP810" s="1"/>
      <c r="NDQ810" s="1"/>
      <c r="NDR810" s="1"/>
      <c r="NDS810" s="1"/>
      <c r="NDT810" s="41"/>
      <c r="NDU810" s="1"/>
      <c r="NDV810" s="1"/>
      <c r="NDW810" s="1"/>
      <c r="NDX810" s="1">
        <v>100302.53</v>
      </c>
      <c r="NDY810" s="41">
        <f>13095.23+544.5+254739.02</f>
        <v>268378.75</v>
      </c>
      <c r="NDZ810" s="1">
        <f t="shared" si="825"/>
        <v>168076.22</v>
      </c>
      <c r="NEA810" s="1">
        <f t="shared" si="826"/>
        <v>268378.75</v>
      </c>
      <c r="NEB810" s="11">
        <v>15320</v>
      </c>
      <c r="NEC810" s="11">
        <v>60900</v>
      </c>
      <c r="NED810" s="42" t="s">
        <v>937</v>
      </c>
      <c r="NEE810" s="7"/>
      <c r="NEF810" s="7"/>
      <c r="NEG810" s="7"/>
      <c r="NEH810" s="7"/>
      <c r="NEI810" s="7"/>
      <c r="NEJ810" s="1"/>
      <c r="NEK810" s="1"/>
      <c r="NEL810" s="1"/>
      <c r="NEM810" s="1"/>
      <c r="NEN810" s="7"/>
      <c r="NEO810" s="1"/>
      <c r="NEP810" s="1"/>
      <c r="NEQ810" s="1"/>
      <c r="NER810" s="1"/>
      <c r="NES810" s="1"/>
      <c r="NET810" s="1"/>
      <c r="NEU810" s="1"/>
      <c r="NEV810" s="1"/>
      <c r="NEW810" s="1"/>
      <c r="NEX810" s="1"/>
      <c r="NEY810" s="1"/>
      <c r="NEZ810" s="41"/>
      <c r="NFA810" s="1"/>
      <c r="NFB810" s="1"/>
      <c r="NFC810" s="1"/>
      <c r="NFD810" s="1">
        <v>100302.53</v>
      </c>
      <c r="NFE810" s="41">
        <f>13095.23+544.5+254739.02</f>
        <v>268378.75</v>
      </c>
      <c r="NFF810" s="1">
        <f t="shared" ref="NFF810:NGL810" si="827">NFE810-NFD810</f>
        <v>168076.22</v>
      </c>
      <c r="NFG810" s="1">
        <f t="shared" ref="NFG810:NGM810" si="828">NFD810+NFF810</f>
        <v>268378.75</v>
      </c>
      <c r="NFH810" s="11">
        <v>15320</v>
      </c>
      <c r="NFI810" s="11">
        <v>60900</v>
      </c>
      <c r="NFJ810" s="42" t="s">
        <v>937</v>
      </c>
      <c r="NFK810" s="7"/>
      <c r="NFL810" s="7"/>
      <c r="NFM810" s="7"/>
      <c r="NFN810" s="7"/>
      <c r="NFO810" s="7"/>
      <c r="NFP810" s="1"/>
      <c r="NFQ810" s="1"/>
      <c r="NFR810" s="1"/>
      <c r="NFS810" s="1"/>
      <c r="NFT810" s="7"/>
      <c r="NFU810" s="1"/>
      <c r="NFV810" s="1"/>
      <c r="NFW810" s="1"/>
      <c r="NFX810" s="1"/>
      <c r="NFY810" s="1"/>
      <c r="NFZ810" s="1"/>
      <c r="NGA810" s="1"/>
      <c r="NGB810" s="1"/>
      <c r="NGC810" s="1"/>
      <c r="NGD810" s="1"/>
      <c r="NGE810" s="1"/>
      <c r="NGF810" s="41"/>
      <c r="NGG810" s="1"/>
      <c r="NGH810" s="1"/>
      <c r="NGI810" s="1"/>
      <c r="NGJ810" s="1">
        <v>100302.53</v>
      </c>
      <c r="NGK810" s="41">
        <f>13095.23+544.5+254739.02</f>
        <v>268378.75</v>
      </c>
      <c r="NGL810" s="1">
        <f t="shared" si="827"/>
        <v>168076.22</v>
      </c>
      <c r="NGM810" s="1">
        <f t="shared" si="828"/>
        <v>268378.75</v>
      </c>
      <c r="NGN810" s="11">
        <v>15320</v>
      </c>
      <c r="NGO810" s="11">
        <v>60900</v>
      </c>
      <c r="NGP810" s="42" t="s">
        <v>937</v>
      </c>
      <c r="NGQ810" s="7"/>
      <c r="NGR810" s="7"/>
      <c r="NGS810" s="7"/>
      <c r="NGT810" s="7"/>
      <c r="NGU810" s="7"/>
      <c r="NGV810" s="1"/>
      <c r="NGW810" s="1"/>
      <c r="NGX810" s="1"/>
      <c r="NGY810" s="1"/>
      <c r="NGZ810" s="7"/>
      <c r="NHA810" s="1"/>
      <c r="NHB810" s="1"/>
      <c r="NHC810" s="1"/>
      <c r="NHD810" s="1"/>
      <c r="NHE810" s="1"/>
      <c r="NHF810" s="1"/>
      <c r="NHG810" s="1"/>
      <c r="NHH810" s="1"/>
      <c r="NHI810" s="1"/>
      <c r="NHJ810" s="1"/>
      <c r="NHK810" s="1"/>
      <c r="NHL810" s="41"/>
      <c r="NHM810" s="1"/>
      <c r="NHN810" s="1"/>
      <c r="NHO810" s="1"/>
      <c r="NHP810" s="1">
        <v>100302.53</v>
      </c>
      <c r="NHQ810" s="41">
        <f>13095.23+544.5+254739.02</f>
        <v>268378.75</v>
      </c>
      <c r="NHR810" s="1">
        <f t="shared" ref="NHR810:NIX810" si="829">NHQ810-NHP810</f>
        <v>168076.22</v>
      </c>
      <c r="NHS810" s="1">
        <f t="shared" ref="NHS810:NIY810" si="830">NHP810+NHR810</f>
        <v>268378.75</v>
      </c>
      <c r="NHT810" s="11">
        <v>15320</v>
      </c>
      <c r="NHU810" s="11">
        <v>60900</v>
      </c>
      <c r="NHV810" s="42" t="s">
        <v>937</v>
      </c>
      <c r="NHW810" s="7"/>
      <c r="NHX810" s="7"/>
      <c r="NHY810" s="7"/>
      <c r="NHZ810" s="7"/>
      <c r="NIA810" s="7"/>
      <c r="NIB810" s="1"/>
      <c r="NIC810" s="1"/>
      <c r="NID810" s="1"/>
      <c r="NIE810" s="1"/>
      <c r="NIF810" s="7"/>
      <c r="NIG810" s="1"/>
      <c r="NIH810" s="1"/>
      <c r="NII810" s="1"/>
      <c r="NIJ810" s="1"/>
      <c r="NIK810" s="1"/>
      <c r="NIL810" s="1"/>
      <c r="NIM810" s="1"/>
      <c r="NIN810" s="1"/>
      <c r="NIO810" s="1"/>
      <c r="NIP810" s="1"/>
      <c r="NIQ810" s="1"/>
      <c r="NIR810" s="41"/>
      <c r="NIS810" s="1"/>
      <c r="NIT810" s="1"/>
      <c r="NIU810" s="1"/>
      <c r="NIV810" s="1">
        <v>100302.53</v>
      </c>
      <c r="NIW810" s="41">
        <f>13095.23+544.5+254739.02</f>
        <v>268378.75</v>
      </c>
      <c r="NIX810" s="1">
        <f t="shared" si="829"/>
        <v>168076.22</v>
      </c>
      <c r="NIY810" s="1">
        <f t="shared" si="830"/>
        <v>268378.75</v>
      </c>
      <c r="NIZ810" s="11">
        <v>15320</v>
      </c>
      <c r="NJA810" s="11">
        <v>60900</v>
      </c>
      <c r="NJB810" s="42" t="s">
        <v>937</v>
      </c>
      <c r="NJC810" s="7"/>
      <c r="NJD810" s="7"/>
      <c r="NJE810" s="7"/>
      <c r="NJF810" s="7"/>
      <c r="NJG810" s="7"/>
      <c r="NJH810" s="1"/>
      <c r="NJI810" s="1"/>
      <c r="NJJ810" s="1"/>
      <c r="NJK810" s="1"/>
      <c r="NJL810" s="7"/>
      <c r="NJM810" s="1"/>
      <c r="NJN810" s="1"/>
      <c r="NJO810" s="1"/>
      <c r="NJP810" s="1"/>
      <c r="NJQ810" s="1"/>
      <c r="NJR810" s="1"/>
      <c r="NJS810" s="1"/>
      <c r="NJT810" s="1"/>
      <c r="NJU810" s="1"/>
      <c r="NJV810" s="1"/>
      <c r="NJW810" s="1"/>
      <c r="NJX810" s="41"/>
      <c r="NJY810" s="1"/>
      <c r="NJZ810" s="1"/>
      <c r="NKA810" s="1"/>
      <c r="NKB810" s="1">
        <v>100302.53</v>
      </c>
      <c r="NKC810" s="41">
        <f>13095.23+544.5+254739.02</f>
        <v>268378.75</v>
      </c>
      <c r="NKD810" s="1">
        <f t="shared" ref="NKD810:NLJ810" si="831">NKC810-NKB810</f>
        <v>168076.22</v>
      </c>
      <c r="NKE810" s="1">
        <f t="shared" ref="NKE810:NLK810" si="832">NKB810+NKD810</f>
        <v>268378.75</v>
      </c>
      <c r="NKF810" s="11">
        <v>15320</v>
      </c>
      <c r="NKG810" s="11">
        <v>60900</v>
      </c>
      <c r="NKH810" s="42" t="s">
        <v>937</v>
      </c>
      <c r="NKI810" s="7"/>
      <c r="NKJ810" s="7"/>
      <c r="NKK810" s="7"/>
      <c r="NKL810" s="7"/>
      <c r="NKM810" s="7"/>
      <c r="NKN810" s="1"/>
      <c r="NKO810" s="1"/>
      <c r="NKP810" s="1"/>
      <c r="NKQ810" s="1"/>
      <c r="NKR810" s="7"/>
      <c r="NKS810" s="1"/>
      <c r="NKT810" s="1"/>
      <c r="NKU810" s="1"/>
      <c r="NKV810" s="1"/>
      <c r="NKW810" s="1"/>
      <c r="NKX810" s="1"/>
      <c r="NKY810" s="1"/>
      <c r="NKZ810" s="1"/>
      <c r="NLA810" s="1"/>
      <c r="NLB810" s="1"/>
      <c r="NLC810" s="1"/>
      <c r="NLD810" s="41"/>
      <c r="NLE810" s="1"/>
      <c r="NLF810" s="1"/>
      <c r="NLG810" s="1"/>
      <c r="NLH810" s="1">
        <v>100302.53</v>
      </c>
      <c r="NLI810" s="41">
        <f>13095.23+544.5+254739.02</f>
        <v>268378.75</v>
      </c>
      <c r="NLJ810" s="1">
        <f t="shared" si="831"/>
        <v>168076.22</v>
      </c>
      <c r="NLK810" s="1">
        <f t="shared" si="832"/>
        <v>268378.75</v>
      </c>
      <c r="NLL810" s="11">
        <v>15320</v>
      </c>
      <c r="NLM810" s="11">
        <v>60900</v>
      </c>
      <c r="NLN810" s="42" t="s">
        <v>937</v>
      </c>
      <c r="NLO810" s="7"/>
      <c r="NLP810" s="7"/>
      <c r="NLQ810" s="7"/>
      <c r="NLR810" s="7"/>
      <c r="NLS810" s="7"/>
      <c r="NLT810" s="1"/>
      <c r="NLU810" s="1"/>
      <c r="NLV810" s="1"/>
      <c r="NLW810" s="1"/>
      <c r="NLX810" s="7"/>
      <c r="NLY810" s="1"/>
      <c r="NLZ810" s="1"/>
      <c r="NMA810" s="1"/>
      <c r="NMB810" s="1"/>
      <c r="NMC810" s="1"/>
      <c r="NMD810" s="1"/>
      <c r="NME810" s="1"/>
      <c r="NMF810" s="1"/>
      <c r="NMG810" s="1"/>
      <c r="NMH810" s="1"/>
      <c r="NMI810" s="1"/>
      <c r="NMJ810" s="41"/>
      <c r="NMK810" s="1"/>
      <c r="NML810" s="1"/>
      <c r="NMM810" s="1"/>
      <c r="NMN810" s="1">
        <v>100302.53</v>
      </c>
      <c r="NMO810" s="41">
        <f>13095.23+544.5+254739.02</f>
        <v>268378.75</v>
      </c>
      <c r="NMP810" s="1">
        <f t="shared" ref="NMP810:NNV810" si="833">NMO810-NMN810</f>
        <v>168076.22</v>
      </c>
      <c r="NMQ810" s="1">
        <f t="shared" ref="NMQ810:NNW810" si="834">NMN810+NMP810</f>
        <v>268378.75</v>
      </c>
      <c r="NMR810" s="11">
        <v>15320</v>
      </c>
      <c r="NMS810" s="11">
        <v>60900</v>
      </c>
      <c r="NMT810" s="42" t="s">
        <v>937</v>
      </c>
      <c r="NMU810" s="7"/>
      <c r="NMV810" s="7"/>
      <c r="NMW810" s="7"/>
      <c r="NMX810" s="7"/>
      <c r="NMY810" s="7"/>
      <c r="NMZ810" s="1"/>
      <c r="NNA810" s="1"/>
      <c r="NNB810" s="1"/>
      <c r="NNC810" s="1"/>
      <c r="NND810" s="7"/>
      <c r="NNE810" s="1"/>
      <c r="NNF810" s="1"/>
      <c r="NNG810" s="1"/>
      <c r="NNH810" s="1"/>
      <c r="NNI810" s="1"/>
      <c r="NNJ810" s="1"/>
      <c r="NNK810" s="1"/>
      <c r="NNL810" s="1"/>
      <c r="NNM810" s="1"/>
      <c r="NNN810" s="1"/>
      <c r="NNO810" s="1"/>
      <c r="NNP810" s="41"/>
      <c r="NNQ810" s="1"/>
      <c r="NNR810" s="1"/>
      <c r="NNS810" s="1"/>
      <c r="NNT810" s="1">
        <v>100302.53</v>
      </c>
      <c r="NNU810" s="41">
        <f>13095.23+544.5+254739.02</f>
        <v>268378.75</v>
      </c>
      <c r="NNV810" s="1">
        <f t="shared" si="833"/>
        <v>168076.22</v>
      </c>
      <c r="NNW810" s="1">
        <f t="shared" si="834"/>
        <v>268378.75</v>
      </c>
      <c r="NNX810" s="11">
        <v>15320</v>
      </c>
      <c r="NNY810" s="11">
        <v>60900</v>
      </c>
      <c r="NNZ810" s="42" t="s">
        <v>937</v>
      </c>
      <c r="NOA810" s="7"/>
      <c r="NOB810" s="7"/>
      <c r="NOC810" s="7"/>
      <c r="NOD810" s="7"/>
      <c r="NOE810" s="7"/>
      <c r="NOF810" s="1"/>
      <c r="NOG810" s="1"/>
      <c r="NOH810" s="1"/>
      <c r="NOI810" s="1"/>
      <c r="NOJ810" s="7"/>
      <c r="NOK810" s="1"/>
      <c r="NOL810" s="1"/>
      <c r="NOM810" s="1"/>
      <c r="NON810" s="1"/>
      <c r="NOO810" s="1"/>
      <c r="NOP810" s="1"/>
      <c r="NOQ810" s="1"/>
      <c r="NOR810" s="1"/>
      <c r="NOS810" s="1"/>
      <c r="NOT810" s="1"/>
      <c r="NOU810" s="1"/>
      <c r="NOV810" s="41"/>
      <c r="NOW810" s="1"/>
      <c r="NOX810" s="1"/>
      <c r="NOY810" s="1"/>
      <c r="NOZ810" s="1">
        <v>100302.53</v>
      </c>
      <c r="NPA810" s="41">
        <f>13095.23+544.5+254739.02</f>
        <v>268378.75</v>
      </c>
      <c r="NPB810" s="1">
        <f t="shared" ref="NPB810:NQH810" si="835">NPA810-NOZ810</f>
        <v>168076.22</v>
      </c>
      <c r="NPC810" s="1">
        <f t="shared" ref="NPC810:NQI810" si="836">NOZ810+NPB810</f>
        <v>268378.75</v>
      </c>
      <c r="NPD810" s="11">
        <v>15320</v>
      </c>
      <c r="NPE810" s="11">
        <v>60900</v>
      </c>
      <c r="NPF810" s="42" t="s">
        <v>937</v>
      </c>
      <c r="NPG810" s="7"/>
      <c r="NPH810" s="7"/>
      <c r="NPI810" s="7"/>
      <c r="NPJ810" s="7"/>
      <c r="NPK810" s="7"/>
      <c r="NPL810" s="1"/>
      <c r="NPM810" s="1"/>
      <c r="NPN810" s="1"/>
      <c r="NPO810" s="1"/>
      <c r="NPP810" s="7"/>
      <c r="NPQ810" s="1"/>
      <c r="NPR810" s="1"/>
      <c r="NPS810" s="1"/>
      <c r="NPT810" s="1"/>
      <c r="NPU810" s="1"/>
      <c r="NPV810" s="1"/>
      <c r="NPW810" s="1"/>
      <c r="NPX810" s="1"/>
      <c r="NPY810" s="1"/>
      <c r="NPZ810" s="1"/>
      <c r="NQA810" s="1"/>
      <c r="NQB810" s="41"/>
      <c r="NQC810" s="1"/>
      <c r="NQD810" s="1"/>
      <c r="NQE810" s="1"/>
      <c r="NQF810" s="1">
        <v>100302.53</v>
      </c>
      <c r="NQG810" s="41">
        <f>13095.23+544.5+254739.02</f>
        <v>268378.75</v>
      </c>
      <c r="NQH810" s="1">
        <f t="shared" si="835"/>
        <v>168076.22</v>
      </c>
      <c r="NQI810" s="1">
        <f t="shared" si="836"/>
        <v>268378.75</v>
      </c>
      <c r="NQJ810" s="11">
        <v>15320</v>
      </c>
      <c r="NQK810" s="11">
        <v>60900</v>
      </c>
      <c r="NQL810" s="42" t="s">
        <v>937</v>
      </c>
      <c r="NQM810" s="7"/>
      <c r="NQN810" s="7"/>
      <c r="NQO810" s="7"/>
      <c r="NQP810" s="7"/>
      <c r="NQQ810" s="7"/>
      <c r="NQR810" s="1"/>
      <c r="NQS810" s="1"/>
      <c r="NQT810" s="1"/>
      <c r="NQU810" s="1"/>
      <c r="NQV810" s="7"/>
      <c r="NQW810" s="1"/>
      <c r="NQX810" s="1"/>
      <c r="NQY810" s="1"/>
      <c r="NQZ810" s="1"/>
      <c r="NRA810" s="1"/>
      <c r="NRB810" s="1"/>
      <c r="NRC810" s="1"/>
      <c r="NRD810" s="1"/>
      <c r="NRE810" s="1"/>
      <c r="NRF810" s="1"/>
      <c r="NRG810" s="1"/>
      <c r="NRH810" s="41"/>
      <c r="NRI810" s="1"/>
      <c r="NRJ810" s="1"/>
      <c r="NRK810" s="1"/>
      <c r="NRL810" s="1">
        <v>100302.53</v>
      </c>
      <c r="NRM810" s="41">
        <f>13095.23+544.5+254739.02</f>
        <v>268378.75</v>
      </c>
      <c r="NRN810" s="1">
        <f t="shared" ref="NRN810:NST810" si="837">NRM810-NRL810</f>
        <v>168076.22</v>
      </c>
      <c r="NRO810" s="1">
        <f t="shared" ref="NRO810:NSU810" si="838">NRL810+NRN810</f>
        <v>268378.75</v>
      </c>
      <c r="NRP810" s="11">
        <v>15320</v>
      </c>
      <c r="NRQ810" s="11">
        <v>60900</v>
      </c>
      <c r="NRR810" s="42" t="s">
        <v>937</v>
      </c>
      <c r="NRS810" s="7"/>
      <c r="NRT810" s="7"/>
      <c r="NRU810" s="7"/>
      <c r="NRV810" s="7"/>
      <c r="NRW810" s="7"/>
      <c r="NRX810" s="1"/>
      <c r="NRY810" s="1"/>
      <c r="NRZ810" s="1"/>
      <c r="NSA810" s="1"/>
      <c r="NSB810" s="7"/>
      <c r="NSC810" s="1"/>
      <c r="NSD810" s="1"/>
      <c r="NSE810" s="1"/>
      <c r="NSF810" s="1"/>
      <c r="NSG810" s="1"/>
      <c r="NSH810" s="1"/>
      <c r="NSI810" s="1"/>
      <c r="NSJ810" s="1"/>
      <c r="NSK810" s="1"/>
      <c r="NSL810" s="1"/>
      <c r="NSM810" s="1"/>
      <c r="NSN810" s="41"/>
      <c r="NSO810" s="1"/>
      <c r="NSP810" s="1"/>
      <c r="NSQ810" s="1"/>
      <c r="NSR810" s="1">
        <v>100302.53</v>
      </c>
      <c r="NSS810" s="41">
        <f>13095.23+544.5+254739.02</f>
        <v>268378.75</v>
      </c>
      <c r="NST810" s="1">
        <f t="shared" si="837"/>
        <v>168076.22</v>
      </c>
      <c r="NSU810" s="1">
        <f t="shared" si="838"/>
        <v>268378.75</v>
      </c>
      <c r="NSV810" s="11">
        <v>15320</v>
      </c>
      <c r="NSW810" s="11">
        <v>60900</v>
      </c>
      <c r="NSX810" s="42" t="s">
        <v>937</v>
      </c>
      <c r="NSY810" s="7"/>
      <c r="NSZ810" s="7"/>
      <c r="NTA810" s="7"/>
      <c r="NTB810" s="7"/>
      <c r="NTC810" s="7"/>
      <c r="NTD810" s="1"/>
      <c r="NTE810" s="1"/>
      <c r="NTF810" s="1"/>
      <c r="NTG810" s="1"/>
      <c r="NTH810" s="7"/>
      <c r="NTI810" s="1"/>
      <c r="NTJ810" s="1"/>
      <c r="NTK810" s="1"/>
      <c r="NTL810" s="1"/>
      <c r="NTM810" s="1"/>
      <c r="NTN810" s="1"/>
      <c r="NTO810" s="1"/>
      <c r="NTP810" s="1"/>
      <c r="NTQ810" s="1"/>
      <c r="NTR810" s="1"/>
      <c r="NTS810" s="1"/>
      <c r="NTT810" s="41"/>
      <c r="NTU810" s="1"/>
      <c r="NTV810" s="1"/>
      <c r="NTW810" s="1"/>
      <c r="NTX810" s="1">
        <v>100302.53</v>
      </c>
      <c r="NTY810" s="41">
        <f>13095.23+544.5+254739.02</f>
        <v>268378.75</v>
      </c>
      <c r="NTZ810" s="1">
        <f t="shared" ref="NTZ810:NVF810" si="839">NTY810-NTX810</f>
        <v>168076.22</v>
      </c>
      <c r="NUA810" s="1">
        <f t="shared" ref="NUA810:NVG810" si="840">NTX810+NTZ810</f>
        <v>268378.75</v>
      </c>
      <c r="NUB810" s="11">
        <v>15320</v>
      </c>
      <c r="NUC810" s="11">
        <v>60900</v>
      </c>
      <c r="NUD810" s="42" t="s">
        <v>937</v>
      </c>
      <c r="NUE810" s="7"/>
      <c r="NUF810" s="7"/>
      <c r="NUG810" s="7"/>
      <c r="NUH810" s="7"/>
      <c r="NUI810" s="7"/>
      <c r="NUJ810" s="1"/>
      <c r="NUK810" s="1"/>
      <c r="NUL810" s="1"/>
      <c r="NUM810" s="1"/>
      <c r="NUN810" s="7"/>
      <c r="NUO810" s="1"/>
      <c r="NUP810" s="1"/>
      <c r="NUQ810" s="1"/>
      <c r="NUR810" s="1"/>
      <c r="NUS810" s="1"/>
      <c r="NUT810" s="1"/>
      <c r="NUU810" s="1"/>
      <c r="NUV810" s="1"/>
      <c r="NUW810" s="1"/>
      <c r="NUX810" s="1"/>
      <c r="NUY810" s="1"/>
      <c r="NUZ810" s="41"/>
      <c r="NVA810" s="1"/>
      <c r="NVB810" s="1"/>
      <c r="NVC810" s="1"/>
      <c r="NVD810" s="1">
        <v>100302.53</v>
      </c>
      <c r="NVE810" s="41">
        <f>13095.23+544.5+254739.02</f>
        <v>268378.75</v>
      </c>
      <c r="NVF810" s="1">
        <f t="shared" si="839"/>
        <v>168076.22</v>
      </c>
      <c r="NVG810" s="1">
        <f t="shared" si="840"/>
        <v>268378.75</v>
      </c>
      <c r="NVH810" s="11">
        <v>15320</v>
      </c>
      <c r="NVI810" s="11">
        <v>60900</v>
      </c>
      <c r="NVJ810" s="42" t="s">
        <v>937</v>
      </c>
      <c r="NVK810" s="7"/>
      <c r="NVL810" s="7"/>
      <c r="NVM810" s="7"/>
      <c r="NVN810" s="7"/>
      <c r="NVO810" s="7"/>
      <c r="NVP810" s="1"/>
      <c r="NVQ810" s="1"/>
      <c r="NVR810" s="1"/>
      <c r="NVS810" s="1"/>
      <c r="NVT810" s="7"/>
      <c r="NVU810" s="1"/>
      <c r="NVV810" s="1"/>
      <c r="NVW810" s="1"/>
      <c r="NVX810" s="1"/>
      <c r="NVY810" s="1"/>
      <c r="NVZ810" s="1"/>
      <c r="NWA810" s="1"/>
      <c r="NWB810" s="1"/>
      <c r="NWC810" s="1"/>
      <c r="NWD810" s="1"/>
      <c r="NWE810" s="1"/>
      <c r="NWF810" s="41"/>
      <c r="NWG810" s="1"/>
      <c r="NWH810" s="1"/>
      <c r="NWI810" s="1"/>
      <c r="NWJ810" s="1">
        <v>100302.53</v>
      </c>
      <c r="NWK810" s="41">
        <f>13095.23+544.5+254739.02</f>
        <v>268378.75</v>
      </c>
      <c r="NWL810" s="1">
        <f t="shared" ref="NWL810:NXR810" si="841">NWK810-NWJ810</f>
        <v>168076.22</v>
      </c>
      <c r="NWM810" s="1">
        <f t="shared" ref="NWM810:NXS810" si="842">NWJ810+NWL810</f>
        <v>268378.75</v>
      </c>
      <c r="NWN810" s="11">
        <v>15320</v>
      </c>
      <c r="NWO810" s="11">
        <v>60900</v>
      </c>
      <c r="NWP810" s="42" t="s">
        <v>937</v>
      </c>
      <c r="NWQ810" s="7"/>
      <c r="NWR810" s="7"/>
      <c r="NWS810" s="7"/>
      <c r="NWT810" s="7"/>
      <c r="NWU810" s="7"/>
      <c r="NWV810" s="1"/>
      <c r="NWW810" s="1"/>
      <c r="NWX810" s="1"/>
      <c r="NWY810" s="1"/>
      <c r="NWZ810" s="7"/>
      <c r="NXA810" s="1"/>
      <c r="NXB810" s="1"/>
      <c r="NXC810" s="1"/>
      <c r="NXD810" s="1"/>
      <c r="NXE810" s="1"/>
      <c r="NXF810" s="1"/>
      <c r="NXG810" s="1"/>
      <c r="NXH810" s="1"/>
      <c r="NXI810" s="1"/>
      <c r="NXJ810" s="1"/>
      <c r="NXK810" s="1"/>
      <c r="NXL810" s="41"/>
      <c r="NXM810" s="1"/>
      <c r="NXN810" s="1"/>
      <c r="NXO810" s="1"/>
      <c r="NXP810" s="1">
        <v>100302.53</v>
      </c>
      <c r="NXQ810" s="41">
        <f>13095.23+544.5+254739.02</f>
        <v>268378.75</v>
      </c>
      <c r="NXR810" s="1">
        <f t="shared" si="841"/>
        <v>168076.22</v>
      </c>
      <c r="NXS810" s="1">
        <f t="shared" si="842"/>
        <v>268378.75</v>
      </c>
      <c r="NXT810" s="11">
        <v>15320</v>
      </c>
      <c r="NXU810" s="11">
        <v>60900</v>
      </c>
      <c r="NXV810" s="42" t="s">
        <v>937</v>
      </c>
      <c r="NXW810" s="7"/>
      <c r="NXX810" s="7"/>
      <c r="NXY810" s="7"/>
      <c r="NXZ810" s="7"/>
      <c r="NYA810" s="7"/>
      <c r="NYB810" s="1"/>
      <c r="NYC810" s="1"/>
      <c r="NYD810" s="1"/>
      <c r="NYE810" s="1"/>
      <c r="NYF810" s="7"/>
      <c r="NYG810" s="1"/>
      <c r="NYH810" s="1"/>
      <c r="NYI810" s="1"/>
      <c r="NYJ810" s="1"/>
      <c r="NYK810" s="1"/>
      <c r="NYL810" s="1"/>
      <c r="NYM810" s="1"/>
      <c r="NYN810" s="1"/>
      <c r="NYO810" s="1"/>
      <c r="NYP810" s="1"/>
      <c r="NYQ810" s="1"/>
      <c r="NYR810" s="41"/>
      <c r="NYS810" s="1"/>
      <c r="NYT810" s="1"/>
      <c r="NYU810" s="1"/>
      <c r="NYV810" s="1">
        <v>100302.53</v>
      </c>
      <c r="NYW810" s="41">
        <f>13095.23+544.5+254739.02</f>
        <v>268378.75</v>
      </c>
      <c r="NYX810" s="1">
        <f t="shared" ref="NYX810:OAD810" si="843">NYW810-NYV810</f>
        <v>168076.22</v>
      </c>
      <c r="NYY810" s="1">
        <f t="shared" ref="NYY810:OAE810" si="844">NYV810+NYX810</f>
        <v>268378.75</v>
      </c>
      <c r="NYZ810" s="11">
        <v>15320</v>
      </c>
      <c r="NZA810" s="11">
        <v>60900</v>
      </c>
      <c r="NZB810" s="42" t="s">
        <v>937</v>
      </c>
      <c r="NZC810" s="7"/>
      <c r="NZD810" s="7"/>
      <c r="NZE810" s="7"/>
      <c r="NZF810" s="7"/>
      <c r="NZG810" s="7"/>
      <c r="NZH810" s="1"/>
      <c r="NZI810" s="1"/>
      <c r="NZJ810" s="1"/>
      <c r="NZK810" s="1"/>
      <c r="NZL810" s="7"/>
      <c r="NZM810" s="1"/>
      <c r="NZN810" s="1"/>
      <c r="NZO810" s="1"/>
      <c r="NZP810" s="1"/>
      <c r="NZQ810" s="1"/>
      <c r="NZR810" s="1"/>
      <c r="NZS810" s="1"/>
      <c r="NZT810" s="1"/>
      <c r="NZU810" s="1"/>
      <c r="NZV810" s="1"/>
      <c r="NZW810" s="1"/>
      <c r="NZX810" s="41"/>
      <c r="NZY810" s="1"/>
      <c r="NZZ810" s="1"/>
      <c r="OAA810" s="1"/>
      <c r="OAB810" s="1">
        <v>100302.53</v>
      </c>
      <c r="OAC810" s="41">
        <f>13095.23+544.5+254739.02</f>
        <v>268378.75</v>
      </c>
      <c r="OAD810" s="1">
        <f t="shared" si="843"/>
        <v>168076.22</v>
      </c>
      <c r="OAE810" s="1">
        <f t="shared" si="844"/>
        <v>268378.75</v>
      </c>
      <c r="OAF810" s="11">
        <v>15320</v>
      </c>
      <c r="OAG810" s="11">
        <v>60900</v>
      </c>
      <c r="OAH810" s="42" t="s">
        <v>937</v>
      </c>
      <c r="OAI810" s="7"/>
      <c r="OAJ810" s="7"/>
      <c r="OAK810" s="7"/>
      <c r="OAL810" s="7"/>
      <c r="OAM810" s="7"/>
      <c r="OAN810" s="1"/>
      <c r="OAO810" s="1"/>
      <c r="OAP810" s="1"/>
      <c r="OAQ810" s="1"/>
      <c r="OAR810" s="7"/>
      <c r="OAS810" s="1"/>
      <c r="OAT810" s="1"/>
      <c r="OAU810" s="1"/>
      <c r="OAV810" s="1"/>
      <c r="OAW810" s="1"/>
      <c r="OAX810" s="1"/>
      <c r="OAY810" s="1"/>
      <c r="OAZ810" s="1"/>
      <c r="OBA810" s="1"/>
      <c r="OBB810" s="1"/>
      <c r="OBC810" s="1"/>
      <c r="OBD810" s="41"/>
      <c r="OBE810" s="1"/>
      <c r="OBF810" s="1"/>
      <c r="OBG810" s="1"/>
      <c r="OBH810" s="1">
        <v>100302.53</v>
      </c>
      <c r="OBI810" s="41">
        <f>13095.23+544.5+254739.02</f>
        <v>268378.75</v>
      </c>
      <c r="OBJ810" s="1">
        <f t="shared" ref="OBJ810:OCP810" si="845">OBI810-OBH810</f>
        <v>168076.22</v>
      </c>
      <c r="OBK810" s="1">
        <f t="shared" ref="OBK810:OCQ810" si="846">OBH810+OBJ810</f>
        <v>268378.75</v>
      </c>
      <c r="OBL810" s="11">
        <v>15320</v>
      </c>
      <c r="OBM810" s="11">
        <v>60900</v>
      </c>
      <c r="OBN810" s="42" t="s">
        <v>937</v>
      </c>
      <c r="OBO810" s="7"/>
      <c r="OBP810" s="7"/>
      <c r="OBQ810" s="7"/>
      <c r="OBR810" s="7"/>
      <c r="OBS810" s="7"/>
      <c r="OBT810" s="1"/>
      <c r="OBU810" s="1"/>
      <c r="OBV810" s="1"/>
      <c r="OBW810" s="1"/>
      <c r="OBX810" s="7"/>
      <c r="OBY810" s="1"/>
      <c r="OBZ810" s="1"/>
      <c r="OCA810" s="1"/>
      <c r="OCB810" s="1"/>
      <c r="OCC810" s="1"/>
      <c r="OCD810" s="1"/>
      <c r="OCE810" s="1"/>
      <c r="OCF810" s="1"/>
      <c r="OCG810" s="1"/>
      <c r="OCH810" s="1"/>
      <c r="OCI810" s="1"/>
      <c r="OCJ810" s="41"/>
      <c r="OCK810" s="1"/>
      <c r="OCL810" s="1"/>
      <c r="OCM810" s="1"/>
      <c r="OCN810" s="1">
        <v>100302.53</v>
      </c>
      <c r="OCO810" s="41">
        <f>13095.23+544.5+254739.02</f>
        <v>268378.75</v>
      </c>
      <c r="OCP810" s="1">
        <f t="shared" si="845"/>
        <v>168076.22</v>
      </c>
      <c r="OCQ810" s="1">
        <f t="shared" si="846"/>
        <v>268378.75</v>
      </c>
      <c r="OCR810" s="11">
        <v>15320</v>
      </c>
      <c r="OCS810" s="11">
        <v>60900</v>
      </c>
      <c r="OCT810" s="42" t="s">
        <v>937</v>
      </c>
      <c r="OCU810" s="7"/>
      <c r="OCV810" s="7"/>
      <c r="OCW810" s="7"/>
      <c r="OCX810" s="7"/>
      <c r="OCY810" s="7"/>
      <c r="OCZ810" s="1"/>
      <c r="ODA810" s="1"/>
      <c r="ODB810" s="1"/>
      <c r="ODC810" s="1"/>
      <c r="ODD810" s="7"/>
      <c r="ODE810" s="1"/>
      <c r="ODF810" s="1"/>
      <c r="ODG810" s="1"/>
      <c r="ODH810" s="1"/>
      <c r="ODI810" s="1"/>
      <c r="ODJ810" s="1"/>
      <c r="ODK810" s="1"/>
      <c r="ODL810" s="1"/>
      <c r="ODM810" s="1"/>
      <c r="ODN810" s="1"/>
      <c r="ODO810" s="1"/>
      <c r="ODP810" s="41"/>
      <c r="ODQ810" s="1"/>
      <c r="ODR810" s="1"/>
      <c r="ODS810" s="1"/>
      <c r="ODT810" s="1">
        <v>100302.53</v>
      </c>
      <c r="ODU810" s="41">
        <f>13095.23+544.5+254739.02</f>
        <v>268378.75</v>
      </c>
      <c r="ODV810" s="1">
        <f t="shared" ref="ODV810:OFB810" si="847">ODU810-ODT810</f>
        <v>168076.22</v>
      </c>
      <c r="ODW810" s="1">
        <f t="shared" ref="ODW810:OFC810" si="848">ODT810+ODV810</f>
        <v>268378.75</v>
      </c>
      <c r="ODX810" s="11">
        <v>15320</v>
      </c>
      <c r="ODY810" s="11">
        <v>60900</v>
      </c>
      <c r="ODZ810" s="42" t="s">
        <v>937</v>
      </c>
      <c r="OEA810" s="7"/>
      <c r="OEB810" s="7"/>
      <c r="OEC810" s="7"/>
      <c r="OED810" s="7"/>
      <c r="OEE810" s="7"/>
      <c r="OEF810" s="1"/>
      <c r="OEG810" s="1"/>
      <c r="OEH810" s="1"/>
      <c r="OEI810" s="1"/>
      <c r="OEJ810" s="7"/>
      <c r="OEK810" s="1"/>
      <c r="OEL810" s="1"/>
      <c r="OEM810" s="1"/>
      <c r="OEN810" s="1"/>
      <c r="OEO810" s="1"/>
      <c r="OEP810" s="1"/>
      <c r="OEQ810" s="1"/>
      <c r="OER810" s="1"/>
      <c r="OES810" s="1"/>
      <c r="OET810" s="1"/>
      <c r="OEU810" s="1"/>
      <c r="OEV810" s="41"/>
      <c r="OEW810" s="1"/>
      <c r="OEX810" s="1"/>
      <c r="OEY810" s="1"/>
      <c r="OEZ810" s="1">
        <v>100302.53</v>
      </c>
      <c r="OFA810" s="41">
        <f>13095.23+544.5+254739.02</f>
        <v>268378.75</v>
      </c>
      <c r="OFB810" s="1">
        <f t="shared" si="847"/>
        <v>168076.22</v>
      </c>
      <c r="OFC810" s="1">
        <f t="shared" si="848"/>
        <v>268378.75</v>
      </c>
      <c r="OFD810" s="11">
        <v>15320</v>
      </c>
      <c r="OFE810" s="11">
        <v>60900</v>
      </c>
      <c r="OFF810" s="42" t="s">
        <v>937</v>
      </c>
      <c r="OFG810" s="7"/>
      <c r="OFH810" s="7"/>
      <c r="OFI810" s="7"/>
      <c r="OFJ810" s="7"/>
      <c r="OFK810" s="7"/>
      <c r="OFL810" s="1"/>
      <c r="OFM810" s="1"/>
      <c r="OFN810" s="1"/>
      <c r="OFO810" s="1"/>
      <c r="OFP810" s="7"/>
      <c r="OFQ810" s="1"/>
      <c r="OFR810" s="1"/>
      <c r="OFS810" s="1"/>
      <c r="OFT810" s="1"/>
      <c r="OFU810" s="1"/>
      <c r="OFV810" s="1"/>
      <c r="OFW810" s="1"/>
      <c r="OFX810" s="1"/>
      <c r="OFY810" s="1"/>
      <c r="OFZ810" s="1"/>
      <c r="OGA810" s="1"/>
      <c r="OGB810" s="41"/>
      <c r="OGC810" s="1"/>
      <c r="OGD810" s="1"/>
      <c r="OGE810" s="1"/>
      <c r="OGF810" s="1">
        <v>100302.53</v>
      </c>
      <c r="OGG810" s="41">
        <f>13095.23+544.5+254739.02</f>
        <v>268378.75</v>
      </c>
      <c r="OGH810" s="1">
        <f t="shared" ref="OGH810:OHN810" si="849">OGG810-OGF810</f>
        <v>168076.22</v>
      </c>
      <c r="OGI810" s="1">
        <f t="shared" ref="OGI810:OHO810" si="850">OGF810+OGH810</f>
        <v>268378.75</v>
      </c>
      <c r="OGJ810" s="11">
        <v>15320</v>
      </c>
      <c r="OGK810" s="11">
        <v>60900</v>
      </c>
      <c r="OGL810" s="42" t="s">
        <v>937</v>
      </c>
      <c r="OGM810" s="7"/>
      <c r="OGN810" s="7"/>
      <c r="OGO810" s="7"/>
      <c r="OGP810" s="7"/>
      <c r="OGQ810" s="7"/>
      <c r="OGR810" s="1"/>
      <c r="OGS810" s="1"/>
      <c r="OGT810" s="1"/>
      <c r="OGU810" s="1"/>
      <c r="OGV810" s="7"/>
      <c r="OGW810" s="1"/>
      <c r="OGX810" s="1"/>
      <c r="OGY810" s="1"/>
      <c r="OGZ810" s="1"/>
      <c r="OHA810" s="1"/>
      <c r="OHB810" s="1"/>
      <c r="OHC810" s="1"/>
      <c r="OHD810" s="1"/>
      <c r="OHE810" s="1"/>
      <c r="OHF810" s="1"/>
      <c r="OHG810" s="1"/>
      <c r="OHH810" s="41"/>
      <c r="OHI810" s="1"/>
      <c r="OHJ810" s="1"/>
      <c r="OHK810" s="1"/>
      <c r="OHL810" s="1">
        <v>100302.53</v>
      </c>
      <c r="OHM810" s="41">
        <f>13095.23+544.5+254739.02</f>
        <v>268378.75</v>
      </c>
      <c r="OHN810" s="1">
        <f t="shared" si="849"/>
        <v>168076.22</v>
      </c>
      <c r="OHO810" s="1">
        <f t="shared" si="850"/>
        <v>268378.75</v>
      </c>
      <c r="OHP810" s="11">
        <v>15320</v>
      </c>
      <c r="OHQ810" s="11">
        <v>60900</v>
      </c>
      <c r="OHR810" s="42" t="s">
        <v>937</v>
      </c>
      <c r="OHS810" s="7"/>
      <c r="OHT810" s="7"/>
      <c r="OHU810" s="7"/>
      <c r="OHV810" s="7"/>
      <c r="OHW810" s="7"/>
      <c r="OHX810" s="1"/>
      <c r="OHY810" s="1"/>
      <c r="OHZ810" s="1"/>
      <c r="OIA810" s="1"/>
      <c r="OIB810" s="7"/>
      <c r="OIC810" s="1"/>
      <c r="OID810" s="1"/>
      <c r="OIE810" s="1"/>
      <c r="OIF810" s="1"/>
      <c r="OIG810" s="1"/>
      <c r="OIH810" s="1"/>
      <c r="OII810" s="1"/>
      <c r="OIJ810" s="1"/>
      <c r="OIK810" s="1"/>
      <c r="OIL810" s="1"/>
      <c r="OIM810" s="1"/>
      <c r="OIN810" s="41"/>
      <c r="OIO810" s="1"/>
      <c r="OIP810" s="1"/>
      <c r="OIQ810" s="1"/>
      <c r="OIR810" s="1">
        <v>100302.53</v>
      </c>
      <c r="OIS810" s="41">
        <f>13095.23+544.5+254739.02</f>
        <v>268378.75</v>
      </c>
      <c r="OIT810" s="1">
        <f t="shared" ref="OIT810:OJZ810" si="851">OIS810-OIR810</f>
        <v>168076.22</v>
      </c>
      <c r="OIU810" s="1">
        <f t="shared" ref="OIU810:OKA810" si="852">OIR810+OIT810</f>
        <v>268378.75</v>
      </c>
      <c r="OIV810" s="11">
        <v>15320</v>
      </c>
      <c r="OIW810" s="11">
        <v>60900</v>
      </c>
      <c r="OIX810" s="42" t="s">
        <v>937</v>
      </c>
      <c r="OIY810" s="7"/>
      <c r="OIZ810" s="7"/>
      <c r="OJA810" s="7"/>
      <c r="OJB810" s="7"/>
      <c r="OJC810" s="7"/>
      <c r="OJD810" s="1"/>
      <c r="OJE810" s="1"/>
      <c r="OJF810" s="1"/>
      <c r="OJG810" s="1"/>
      <c r="OJH810" s="7"/>
      <c r="OJI810" s="1"/>
      <c r="OJJ810" s="1"/>
      <c r="OJK810" s="1"/>
      <c r="OJL810" s="1"/>
      <c r="OJM810" s="1"/>
      <c r="OJN810" s="1"/>
      <c r="OJO810" s="1"/>
      <c r="OJP810" s="1"/>
      <c r="OJQ810" s="1"/>
      <c r="OJR810" s="1"/>
      <c r="OJS810" s="1"/>
      <c r="OJT810" s="41"/>
      <c r="OJU810" s="1"/>
      <c r="OJV810" s="1"/>
      <c r="OJW810" s="1"/>
      <c r="OJX810" s="1">
        <v>100302.53</v>
      </c>
      <c r="OJY810" s="41">
        <f>13095.23+544.5+254739.02</f>
        <v>268378.75</v>
      </c>
      <c r="OJZ810" s="1">
        <f t="shared" si="851"/>
        <v>168076.22</v>
      </c>
      <c r="OKA810" s="1">
        <f t="shared" si="852"/>
        <v>268378.75</v>
      </c>
      <c r="OKB810" s="11">
        <v>15320</v>
      </c>
      <c r="OKC810" s="11">
        <v>60900</v>
      </c>
      <c r="OKD810" s="42" t="s">
        <v>937</v>
      </c>
      <c r="OKE810" s="7"/>
      <c r="OKF810" s="7"/>
      <c r="OKG810" s="7"/>
      <c r="OKH810" s="7"/>
      <c r="OKI810" s="7"/>
      <c r="OKJ810" s="1"/>
      <c r="OKK810" s="1"/>
      <c r="OKL810" s="1"/>
      <c r="OKM810" s="1"/>
      <c r="OKN810" s="7"/>
      <c r="OKO810" s="1"/>
      <c r="OKP810" s="1"/>
      <c r="OKQ810" s="1"/>
      <c r="OKR810" s="1"/>
      <c r="OKS810" s="1"/>
      <c r="OKT810" s="1"/>
      <c r="OKU810" s="1"/>
      <c r="OKV810" s="1"/>
      <c r="OKW810" s="1"/>
      <c r="OKX810" s="1"/>
      <c r="OKY810" s="1"/>
      <c r="OKZ810" s="41"/>
      <c r="OLA810" s="1"/>
      <c r="OLB810" s="1"/>
      <c r="OLC810" s="1"/>
      <c r="OLD810" s="1">
        <v>100302.53</v>
      </c>
      <c r="OLE810" s="41">
        <f>13095.23+544.5+254739.02</f>
        <v>268378.75</v>
      </c>
      <c r="OLF810" s="1">
        <f t="shared" ref="OLF810:OML810" si="853">OLE810-OLD810</f>
        <v>168076.22</v>
      </c>
      <c r="OLG810" s="1">
        <f t="shared" ref="OLG810:OMM810" si="854">OLD810+OLF810</f>
        <v>268378.75</v>
      </c>
      <c r="OLH810" s="11">
        <v>15320</v>
      </c>
      <c r="OLI810" s="11">
        <v>60900</v>
      </c>
      <c r="OLJ810" s="42" t="s">
        <v>937</v>
      </c>
      <c r="OLK810" s="7"/>
      <c r="OLL810" s="7"/>
      <c r="OLM810" s="7"/>
      <c r="OLN810" s="7"/>
      <c r="OLO810" s="7"/>
      <c r="OLP810" s="1"/>
      <c r="OLQ810" s="1"/>
      <c r="OLR810" s="1"/>
      <c r="OLS810" s="1"/>
      <c r="OLT810" s="7"/>
      <c r="OLU810" s="1"/>
      <c r="OLV810" s="1"/>
      <c r="OLW810" s="1"/>
      <c r="OLX810" s="1"/>
      <c r="OLY810" s="1"/>
      <c r="OLZ810" s="1"/>
      <c r="OMA810" s="1"/>
      <c r="OMB810" s="1"/>
      <c r="OMC810" s="1"/>
      <c r="OMD810" s="1"/>
      <c r="OME810" s="1"/>
      <c r="OMF810" s="41"/>
      <c r="OMG810" s="1"/>
      <c r="OMH810" s="1"/>
      <c r="OMI810" s="1"/>
      <c r="OMJ810" s="1">
        <v>100302.53</v>
      </c>
      <c r="OMK810" s="41">
        <f>13095.23+544.5+254739.02</f>
        <v>268378.75</v>
      </c>
      <c r="OML810" s="1">
        <f t="shared" si="853"/>
        <v>168076.22</v>
      </c>
      <c r="OMM810" s="1">
        <f t="shared" si="854"/>
        <v>268378.75</v>
      </c>
      <c r="OMN810" s="11">
        <v>15320</v>
      </c>
      <c r="OMO810" s="11">
        <v>60900</v>
      </c>
      <c r="OMP810" s="42" t="s">
        <v>937</v>
      </c>
      <c r="OMQ810" s="7"/>
      <c r="OMR810" s="7"/>
      <c r="OMS810" s="7"/>
      <c r="OMT810" s="7"/>
      <c r="OMU810" s="7"/>
      <c r="OMV810" s="1"/>
      <c r="OMW810" s="1"/>
      <c r="OMX810" s="1"/>
      <c r="OMY810" s="1"/>
      <c r="OMZ810" s="7"/>
      <c r="ONA810" s="1"/>
      <c r="ONB810" s="1"/>
      <c r="ONC810" s="1"/>
      <c r="OND810" s="1"/>
      <c r="ONE810" s="1"/>
      <c r="ONF810" s="1"/>
      <c r="ONG810" s="1"/>
      <c r="ONH810" s="1"/>
      <c r="ONI810" s="1"/>
      <c r="ONJ810" s="1"/>
      <c r="ONK810" s="1"/>
      <c r="ONL810" s="41"/>
      <c r="ONM810" s="1"/>
      <c r="ONN810" s="1"/>
      <c r="ONO810" s="1"/>
      <c r="ONP810" s="1">
        <v>100302.53</v>
      </c>
      <c r="ONQ810" s="41">
        <f>13095.23+544.5+254739.02</f>
        <v>268378.75</v>
      </c>
      <c r="ONR810" s="1">
        <f t="shared" ref="ONR810:OOX810" si="855">ONQ810-ONP810</f>
        <v>168076.22</v>
      </c>
      <c r="ONS810" s="1">
        <f t="shared" ref="ONS810:OOY810" si="856">ONP810+ONR810</f>
        <v>268378.75</v>
      </c>
      <c r="ONT810" s="11">
        <v>15320</v>
      </c>
      <c r="ONU810" s="11">
        <v>60900</v>
      </c>
      <c r="ONV810" s="42" t="s">
        <v>937</v>
      </c>
      <c r="ONW810" s="7"/>
      <c r="ONX810" s="7"/>
      <c r="ONY810" s="7"/>
      <c r="ONZ810" s="7"/>
      <c r="OOA810" s="7"/>
      <c r="OOB810" s="1"/>
      <c r="OOC810" s="1"/>
      <c r="OOD810" s="1"/>
      <c r="OOE810" s="1"/>
      <c r="OOF810" s="7"/>
      <c r="OOG810" s="1"/>
      <c r="OOH810" s="1"/>
      <c r="OOI810" s="1"/>
      <c r="OOJ810" s="1"/>
      <c r="OOK810" s="1"/>
      <c r="OOL810" s="1"/>
      <c r="OOM810" s="1"/>
      <c r="OON810" s="1"/>
      <c r="OOO810" s="1"/>
      <c r="OOP810" s="1"/>
      <c r="OOQ810" s="1"/>
      <c r="OOR810" s="41"/>
      <c r="OOS810" s="1"/>
      <c r="OOT810" s="1"/>
      <c r="OOU810" s="1"/>
      <c r="OOV810" s="1">
        <v>100302.53</v>
      </c>
      <c r="OOW810" s="41">
        <f>13095.23+544.5+254739.02</f>
        <v>268378.75</v>
      </c>
      <c r="OOX810" s="1">
        <f t="shared" si="855"/>
        <v>168076.22</v>
      </c>
      <c r="OOY810" s="1">
        <f t="shared" si="856"/>
        <v>268378.75</v>
      </c>
      <c r="OOZ810" s="11">
        <v>15320</v>
      </c>
      <c r="OPA810" s="11">
        <v>60900</v>
      </c>
      <c r="OPB810" s="42" t="s">
        <v>937</v>
      </c>
      <c r="OPC810" s="7"/>
      <c r="OPD810" s="7"/>
      <c r="OPE810" s="7"/>
      <c r="OPF810" s="7"/>
      <c r="OPG810" s="7"/>
      <c r="OPH810" s="1"/>
      <c r="OPI810" s="1"/>
      <c r="OPJ810" s="1"/>
      <c r="OPK810" s="1"/>
      <c r="OPL810" s="7"/>
      <c r="OPM810" s="1"/>
      <c r="OPN810" s="1"/>
      <c r="OPO810" s="1"/>
      <c r="OPP810" s="1"/>
      <c r="OPQ810" s="1"/>
      <c r="OPR810" s="1"/>
      <c r="OPS810" s="1"/>
      <c r="OPT810" s="1"/>
      <c r="OPU810" s="1"/>
      <c r="OPV810" s="1"/>
      <c r="OPW810" s="1"/>
      <c r="OPX810" s="41"/>
      <c r="OPY810" s="1"/>
      <c r="OPZ810" s="1"/>
      <c r="OQA810" s="1"/>
      <c r="OQB810" s="1">
        <v>100302.53</v>
      </c>
      <c r="OQC810" s="41">
        <f>13095.23+544.5+254739.02</f>
        <v>268378.75</v>
      </c>
      <c r="OQD810" s="1">
        <f t="shared" ref="OQD810:ORJ810" si="857">OQC810-OQB810</f>
        <v>168076.22</v>
      </c>
      <c r="OQE810" s="1">
        <f t="shared" ref="OQE810:ORK810" si="858">OQB810+OQD810</f>
        <v>268378.75</v>
      </c>
      <c r="OQF810" s="11">
        <v>15320</v>
      </c>
      <c r="OQG810" s="11">
        <v>60900</v>
      </c>
      <c r="OQH810" s="42" t="s">
        <v>937</v>
      </c>
      <c r="OQI810" s="7"/>
      <c r="OQJ810" s="7"/>
      <c r="OQK810" s="7"/>
      <c r="OQL810" s="7"/>
      <c r="OQM810" s="7"/>
      <c r="OQN810" s="1"/>
      <c r="OQO810" s="1"/>
      <c r="OQP810" s="1"/>
      <c r="OQQ810" s="1"/>
      <c r="OQR810" s="7"/>
      <c r="OQS810" s="1"/>
      <c r="OQT810" s="1"/>
      <c r="OQU810" s="1"/>
      <c r="OQV810" s="1"/>
      <c r="OQW810" s="1"/>
      <c r="OQX810" s="1"/>
      <c r="OQY810" s="1"/>
      <c r="OQZ810" s="1"/>
      <c r="ORA810" s="1"/>
      <c r="ORB810" s="1"/>
      <c r="ORC810" s="1"/>
      <c r="ORD810" s="41"/>
      <c r="ORE810" s="1"/>
      <c r="ORF810" s="1"/>
      <c r="ORG810" s="1"/>
      <c r="ORH810" s="1">
        <v>100302.53</v>
      </c>
      <c r="ORI810" s="41">
        <f>13095.23+544.5+254739.02</f>
        <v>268378.75</v>
      </c>
      <c r="ORJ810" s="1">
        <f t="shared" si="857"/>
        <v>168076.22</v>
      </c>
      <c r="ORK810" s="1">
        <f t="shared" si="858"/>
        <v>268378.75</v>
      </c>
      <c r="ORL810" s="11">
        <v>15320</v>
      </c>
      <c r="ORM810" s="11">
        <v>60900</v>
      </c>
      <c r="ORN810" s="42" t="s">
        <v>937</v>
      </c>
      <c r="ORO810" s="7"/>
      <c r="ORP810" s="7"/>
      <c r="ORQ810" s="7"/>
      <c r="ORR810" s="7"/>
      <c r="ORS810" s="7"/>
      <c r="ORT810" s="1"/>
      <c r="ORU810" s="1"/>
      <c r="ORV810" s="1"/>
      <c r="ORW810" s="1"/>
      <c r="ORX810" s="7"/>
      <c r="ORY810" s="1"/>
      <c r="ORZ810" s="1"/>
      <c r="OSA810" s="1"/>
      <c r="OSB810" s="1"/>
      <c r="OSC810" s="1"/>
      <c r="OSD810" s="1"/>
      <c r="OSE810" s="1"/>
      <c r="OSF810" s="1"/>
      <c r="OSG810" s="1"/>
      <c r="OSH810" s="1"/>
      <c r="OSI810" s="1"/>
      <c r="OSJ810" s="41"/>
      <c r="OSK810" s="1"/>
      <c r="OSL810" s="1"/>
      <c r="OSM810" s="1"/>
      <c r="OSN810" s="1">
        <v>100302.53</v>
      </c>
      <c r="OSO810" s="41">
        <f>13095.23+544.5+254739.02</f>
        <v>268378.75</v>
      </c>
      <c r="OSP810" s="1">
        <f t="shared" ref="OSP810:OTV810" si="859">OSO810-OSN810</f>
        <v>168076.22</v>
      </c>
      <c r="OSQ810" s="1">
        <f t="shared" ref="OSQ810:OTW810" si="860">OSN810+OSP810</f>
        <v>268378.75</v>
      </c>
      <c r="OSR810" s="11">
        <v>15320</v>
      </c>
      <c r="OSS810" s="11">
        <v>60900</v>
      </c>
      <c r="OST810" s="42" t="s">
        <v>937</v>
      </c>
      <c r="OSU810" s="7"/>
      <c r="OSV810" s="7"/>
      <c r="OSW810" s="7"/>
      <c r="OSX810" s="7"/>
      <c r="OSY810" s="7"/>
      <c r="OSZ810" s="1"/>
      <c r="OTA810" s="1"/>
      <c r="OTB810" s="1"/>
      <c r="OTC810" s="1"/>
      <c r="OTD810" s="7"/>
      <c r="OTE810" s="1"/>
      <c r="OTF810" s="1"/>
      <c r="OTG810" s="1"/>
      <c r="OTH810" s="1"/>
      <c r="OTI810" s="1"/>
      <c r="OTJ810" s="1"/>
      <c r="OTK810" s="1"/>
      <c r="OTL810" s="1"/>
      <c r="OTM810" s="1"/>
      <c r="OTN810" s="1"/>
      <c r="OTO810" s="1"/>
      <c r="OTP810" s="41"/>
      <c r="OTQ810" s="1"/>
      <c r="OTR810" s="1"/>
      <c r="OTS810" s="1"/>
      <c r="OTT810" s="1">
        <v>100302.53</v>
      </c>
      <c r="OTU810" s="41">
        <f>13095.23+544.5+254739.02</f>
        <v>268378.75</v>
      </c>
      <c r="OTV810" s="1">
        <f t="shared" si="859"/>
        <v>168076.22</v>
      </c>
      <c r="OTW810" s="1">
        <f t="shared" si="860"/>
        <v>268378.75</v>
      </c>
      <c r="OTX810" s="11">
        <v>15320</v>
      </c>
      <c r="OTY810" s="11">
        <v>60900</v>
      </c>
      <c r="OTZ810" s="42" t="s">
        <v>937</v>
      </c>
      <c r="OUA810" s="7"/>
      <c r="OUB810" s="7"/>
      <c r="OUC810" s="7"/>
      <c r="OUD810" s="7"/>
      <c r="OUE810" s="7"/>
      <c r="OUF810" s="1"/>
      <c r="OUG810" s="1"/>
      <c r="OUH810" s="1"/>
      <c r="OUI810" s="1"/>
      <c r="OUJ810" s="7"/>
      <c r="OUK810" s="1"/>
      <c r="OUL810" s="1"/>
      <c r="OUM810" s="1"/>
      <c r="OUN810" s="1"/>
      <c r="OUO810" s="1"/>
      <c r="OUP810" s="1"/>
      <c r="OUQ810" s="1"/>
      <c r="OUR810" s="1"/>
      <c r="OUS810" s="1"/>
      <c r="OUT810" s="1"/>
      <c r="OUU810" s="1"/>
      <c r="OUV810" s="41"/>
      <c r="OUW810" s="1"/>
      <c r="OUX810" s="1"/>
      <c r="OUY810" s="1"/>
      <c r="OUZ810" s="1">
        <v>100302.53</v>
      </c>
      <c r="OVA810" s="41">
        <f>13095.23+544.5+254739.02</f>
        <v>268378.75</v>
      </c>
      <c r="OVB810" s="1">
        <f t="shared" ref="OVB810:OWH810" si="861">OVA810-OUZ810</f>
        <v>168076.22</v>
      </c>
      <c r="OVC810" s="1">
        <f t="shared" ref="OVC810:OWI810" si="862">OUZ810+OVB810</f>
        <v>268378.75</v>
      </c>
      <c r="OVD810" s="11">
        <v>15320</v>
      </c>
      <c r="OVE810" s="11">
        <v>60900</v>
      </c>
      <c r="OVF810" s="42" t="s">
        <v>937</v>
      </c>
      <c r="OVG810" s="7"/>
      <c r="OVH810" s="7"/>
      <c r="OVI810" s="7"/>
      <c r="OVJ810" s="7"/>
      <c r="OVK810" s="7"/>
      <c r="OVL810" s="1"/>
      <c r="OVM810" s="1"/>
      <c r="OVN810" s="1"/>
      <c r="OVO810" s="1"/>
      <c r="OVP810" s="7"/>
      <c r="OVQ810" s="1"/>
      <c r="OVR810" s="1"/>
      <c r="OVS810" s="1"/>
      <c r="OVT810" s="1"/>
      <c r="OVU810" s="1"/>
      <c r="OVV810" s="1"/>
      <c r="OVW810" s="1"/>
      <c r="OVX810" s="1"/>
      <c r="OVY810" s="1"/>
      <c r="OVZ810" s="1"/>
      <c r="OWA810" s="1"/>
      <c r="OWB810" s="41"/>
      <c r="OWC810" s="1"/>
      <c r="OWD810" s="1"/>
      <c r="OWE810" s="1"/>
      <c r="OWF810" s="1">
        <v>100302.53</v>
      </c>
      <c r="OWG810" s="41">
        <f>13095.23+544.5+254739.02</f>
        <v>268378.75</v>
      </c>
      <c r="OWH810" s="1">
        <f t="shared" si="861"/>
        <v>168076.22</v>
      </c>
      <c r="OWI810" s="1">
        <f t="shared" si="862"/>
        <v>268378.75</v>
      </c>
      <c r="OWJ810" s="11">
        <v>15320</v>
      </c>
      <c r="OWK810" s="11">
        <v>60900</v>
      </c>
      <c r="OWL810" s="42" t="s">
        <v>937</v>
      </c>
      <c r="OWM810" s="7"/>
      <c r="OWN810" s="7"/>
      <c r="OWO810" s="7"/>
      <c r="OWP810" s="7"/>
      <c r="OWQ810" s="7"/>
      <c r="OWR810" s="1"/>
      <c r="OWS810" s="1"/>
      <c r="OWT810" s="1"/>
      <c r="OWU810" s="1"/>
      <c r="OWV810" s="7"/>
      <c r="OWW810" s="1"/>
      <c r="OWX810" s="1"/>
      <c r="OWY810" s="1"/>
      <c r="OWZ810" s="1"/>
      <c r="OXA810" s="1"/>
      <c r="OXB810" s="1"/>
      <c r="OXC810" s="1"/>
      <c r="OXD810" s="1"/>
      <c r="OXE810" s="1"/>
      <c r="OXF810" s="1"/>
      <c r="OXG810" s="1"/>
      <c r="OXH810" s="41"/>
      <c r="OXI810" s="1"/>
      <c r="OXJ810" s="1"/>
      <c r="OXK810" s="1"/>
      <c r="OXL810" s="1">
        <v>100302.53</v>
      </c>
      <c r="OXM810" s="41">
        <f>13095.23+544.5+254739.02</f>
        <v>268378.75</v>
      </c>
      <c r="OXN810" s="1">
        <f t="shared" ref="OXN810:OYT810" si="863">OXM810-OXL810</f>
        <v>168076.22</v>
      </c>
      <c r="OXO810" s="1">
        <f t="shared" ref="OXO810:OYU810" si="864">OXL810+OXN810</f>
        <v>268378.75</v>
      </c>
      <c r="OXP810" s="11">
        <v>15320</v>
      </c>
      <c r="OXQ810" s="11">
        <v>60900</v>
      </c>
      <c r="OXR810" s="42" t="s">
        <v>937</v>
      </c>
      <c r="OXS810" s="7"/>
      <c r="OXT810" s="7"/>
      <c r="OXU810" s="7"/>
      <c r="OXV810" s="7"/>
      <c r="OXW810" s="7"/>
      <c r="OXX810" s="1"/>
      <c r="OXY810" s="1"/>
      <c r="OXZ810" s="1"/>
      <c r="OYA810" s="1"/>
      <c r="OYB810" s="7"/>
      <c r="OYC810" s="1"/>
      <c r="OYD810" s="1"/>
      <c r="OYE810" s="1"/>
      <c r="OYF810" s="1"/>
      <c r="OYG810" s="1"/>
      <c r="OYH810" s="1"/>
      <c r="OYI810" s="1"/>
      <c r="OYJ810" s="1"/>
      <c r="OYK810" s="1"/>
      <c r="OYL810" s="1"/>
      <c r="OYM810" s="1"/>
      <c r="OYN810" s="41"/>
      <c r="OYO810" s="1"/>
      <c r="OYP810" s="1"/>
      <c r="OYQ810" s="1"/>
      <c r="OYR810" s="1">
        <v>100302.53</v>
      </c>
      <c r="OYS810" s="41">
        <f>13095.23+544.5+254739.02</f>
        <v>268378.75</v>
      </c>
      <c r="OYT810" s="1">
        <f t="shared" si="863"/>
        <v>168076.22</v>
      </c>
      <c r="OYU810" s="1">
        <f t="shared" si="864"/>
        <v>268378.75</v>
      </c>
      <c r="OYV810" s="11">
        <v>15320</v>
      </c>
      <c r="OYW810" s="11">
        <v>60900</v>
      </c>
      <c r="OYX810" s="42" t="s">
        <v>937</v>
      </c>
      <c r="OYY810" s="7"/>
      <c r="OYZ810" s="7"/>
      <c r="OZA810" s="7"/>
      <c r="OZB810" s="7"/>
      <c r="OZC810" s="7"/>
      <c r="OZD810" s="1"/>
      <c r="OZE810" s="1"/>
      <c r="OZF810" s="1"/>
      <c r="OZG810" s="1"/>
      <c r="OZH810" s="7"/>
      <c r="OZI810" s="1"/>
      <c r="OZJ810" s="1"/>
      <c r="OZK810" s="1"/>
      <c r="OZL810" s="1"/>
      <c r="OZM810" s="1"/>
      <c r="OZN810" s="1"/>
      <c r="OZO810" s="1"/>
      <c r="OZP810" s="1"/>
      <c r="OZQ810" s="1"/>
      <c r="OZR810" s="1"/>
      <c r="OZS810" s="1"/>
      <c r="OZT810" s="41"/>
      <c r="OZU810" s="1"/>
      <c r="OZV810" s="1"/>
      <c r="OZW810" s="1"/>
      <c r="OZX810" s="1">
        <v>100302.53</v>
      </c>
      <c r="OZY810" s="41">
        <f>13095.23+544.5+254739.02</f>
        <v>268378.75</v>
      </c>
      <c r="OZZ810" s="1">
        <f t="shared" ref="OZZ810:PBF810" si="865">OZY810-OZX810</f>
        <v>168076.22</v>
      </c>
      <c r="PAA810" s="1">
        <f t="shared" ref="PAA810:PBG810" si="866">OZX810+OZZ810</f>
        <v>268378.75</v>
      </c>
      <c r="PAB810" s="11">
        <v>15320</v>
      </c>
      <c r="PAC810" s="11">
        <v>60900</v>
      </c>
      <c r="PAD810" s="42" t="s">
        <v>937</v>
      </c>
      <c r="PAE810" s="7"/>
      <c r="PAF810" s="7"/>
      <c r="PAG810" s="7"/>
      <c r="PAH810" s="7"/>
      <c r="PAI810" s="7"/>
      <c r="PAJ810" s="1"/>
      <c r="PAK810" s="1"/>
      <c r="PAL810" s="1"/>
      <c r="PAM810" s="1"/>
      <c r="PAN810" s="7"/>
      <c r="PAO810" s="1"/>
      <c r="PAP810" s="1"/>
      <c r="PAQ810" s="1"/>
      <c r="PAR810" s="1"/>
      <c r="PAS810" s="1"/>
      <c r="PAT810" s="1"/>
      <c r="PAU810" s="1"/>
      <c r="PAV810" s="1"/>
      <c r="PAW810" s="1"/>
      <c r="PAX810" s="1"/>
      <c r="PAY810" s="1"/>
      <c r="PAZ810" s="41"/>
      <c r="PBA810" s="1"/>
      <c r="PBB810" s="1"/>
      <c r="PBC810" s="1"/>
      <c r="PBD810" s="1">
        <v>100302.53</v>
      </c>
      <c r="PBE810" s="41">
        <f>13095.23+544.5+254739.02</f>
        <v>268378.75</v>
      </c>
      <c r="PBF810" s="1">
        <f t="shared" si="865"/>
        <v>168076.22</v>
      </c>
      <c r="PBG810" s="1">
        <f t="shared" si="866"/>
        <v>268378.75</v>
      </c>
      <c r="PBH810" s="11">
        <v>15320</v>
      </c>
      <c r="PBI810" s="11">
        <v>60900</v>
      </c>
      <c r="PBJ810" s="42" t="s">
        <v>937</v>
      </c>
      <c r="PBK810" s="7"/>
      <c r="PBL810" s="7"/>
      <c r="PBM810" s="7"/>
      <c r="PBN810" s="7"/>
      <c r="PBO810" s="7"/>
      <c r="PBP810" s="1"/>
      <c r="PBQ810" s="1"/>
      <c r="PBR810" s="1"/>
      <c r="PBS810" s="1"/>
      <c r="PBT810" s="7"/>
      <c r="PBU810" s="1"/>
      <c r="PBV810" s="1"/>
      <c r="PBW810" s="1"/>
      <c r="PBX810" s="1"/>
      <c r="PBY810" s="1"/>
      <c r="PBZ810" s="1"/>
      <c r="PCA810" s="1"/>
      <c r="PCB810" s="1"/>
      <c r="PCC810" s="1"/>
      <c r="PCD810" s="1"/>
      <c r="PCE810" s="1"/>
      <c r="PCF810" s="41"/>
      <c r="PCG810" s="1"/>
      <c r="PCH810" s="1"/>
      <c r="PCI810" s="1"/>
      <c r="PCJ810" s="1">
        <v>100302.53</v>
      </c>
      <c r="PCK810" s="41">
        <f>13095.23+544.5+254739.02</f>
        <v>268378.75</v>
      </c>
      <c r="PCL810" s="1">
        <f t="shared" ref="PCL810:PDR810" si="867">PCK810-PCJ810</f>
        <v>168076.22</v>
      </c>
      <c r="PCM810" s="1">
        <f t="shared" ref="PCM810:PDS810" si="868">PCJ810+PCL810</f>
        <v>268378.75</v>
      </c>
      <c r="PCN810" s="11">
        <v>15320</v>
      </c>
      <c r="PCO810" s="11">
        <v>60900</v>
      </c>
      <c r="PCP810" s="42" t="s">
        <v>937</v>
      </c>
      <c r="PCQ810" s="7"/>
      <c r="PCR810" s="7"/>
      <c r="PCS810" s="7"/>
      <c r="PCT810" s="7"/>
      <c r="PCU810" s="7"/>
      <c r="PCV810" s="1"/>
      <c r="PCW810" s="1"/>
      <c r="PCX810" s="1"/>
      <c r="PCY810" s="1"/>
      <c r="PCZ810" s="7"/>
      <c r="PDA810" s="1"/>
      <c r="PDB810" s="1"/>
      <c r="PDC810" s="1"/>
      <c r="PDD810" s="1"/>
      <c r="PDE810" s="1"/>
      <c r="PDF810" s="1"/>
      <c r="PDG810" s="1"/>
      <c r="PDH810" s="1"/>
      <c r="PDI810" s="1"/>
      <c r="PDJ810" s="1"/>
      <c r="PDK810" s="1"/>
      <c r="PDL810" s="41"/>
      <c r="PDM810" s="1"/>
      <c r="PDN810" s="1"/>
      <c r="PDO810" s="1"/>
      <c r="PDP810" s="1">
        <v>100302.53</v>
      </c>
      <c r="PDQ810" s="41">
        <f>13095.23+544.5+254739.02</f>
        <v>268378.75</v>
      </c>
      <c r="PDR810" s="1">
        <f t="shared" si="867"/>
        <v>168076.22</v>
      </c>
      <c r="PDS810" s="1">
        <f t="shared" si="868"/>
        <v>268378.75</v>
      </c>
      <c r="PDT810" s="11">
        <v>15320</v>
      </c>
      <c r="PDU810" s="11">
        <v>60900</v>
      </c>
      <c r="PDV810" s="42" t="s">
        <v>937</v>
      </c>
      <c r="PDW810" s="7"/>
      <c r="PDX810" s="7"/>
      <c r="PDY810" s="7"/>
      <c r="PDZ810" s="7"/>
      <c r="PEA810" s="7"/>
      <c r="PEB810" s="1"/>
      <c r="PEC810" s="1"/>
      <c r="PED810" s="1"/>
      <c r="PEE810" s="1"/>
      <c r="PEF810" s="7"/>
      <c r="PEG810" s="1"/>
      <c r="PEH810" s="1"/>
      <c r="PEI810" s="1"/>
      <c r="PEJ810" s="1"/>
      <c r="PEK810" s="1"/>
      <c r="PEL810" s="1"/>
      <c r="PEM810" s="1"/>
      <c r="PEN810" s="1"/>
      <c r="PEO810" s="1"/>
      <c r="PEP810" s="1"/>
      <c r="PEQ810" s="1"/>
      <c r="PER810" s="41"/>
      <c r="PES810" s="1"/>
      <c r="PET810" s="1"/>
      <c r="PEU810" s="1"/>
      <c r="PEV810" s="1">
        <v>100302.53</v>
      </c>
      <c r="PEW810" s="41">
        <f>13095.23+544.5+254739.02</f>
        <v>268378.75</v>
      </c>
      <c r="PEX810" s="1">
        <f t="shared" ref="PEX810:PGD810" si="869">PEW810-PEV810</f>
        <v>168076.22</v>
      </c>
      <c r="PEY810" s="1">
        <f t="shared" ref="PEY810:PGE810" si="870">PEV810+PEX810</f>
        <v>268378.75</v>
      </c>
      <c r="PEZ810" s="11">
        <v>15320</v>
      </c>
      <c r="PFA810" s="11">
        <v>60900</v>
      </c>
      <c r="PFB810" s="42" t="s">
        <v>937</v>
      </c>
      <c r="PFC810" s="7"/>
      <c r="PFD810" s="7"/>
      <c r="PFE810" s="7"/>
      <c r="PFF810" s="7"/>
      <c r="PFG810" s="7"/>
      <c r="PFH810" s="1"/>
      <c r="PFI810" s="1"/>
      <c r="PFJ810" s="1"/>
      <c r="PFK810" s="1"/>
      <c r="PFL810" s="7"/>
      <c r="PFM810" s="1"/>
      <c r="PFN810" s="1"/>
      <c r="PFO810" s="1"/>
      <c r="PFP810" s="1"/>
      <c r="PFQ810" s="1"/>
      <c r="PFR810" s="1"/>
      <c r="PFS810" s="1"/>
      <c r="PFT810" s="1"/>
      <c r="PFU810" s="1"/>
      <c r="PFV810" s="1"/>
      <c r="PFW810" s="1"/>
      <c r="PFX810" s="41"/>
      <c r="PFY810" s="1"/>
      <c r="PFZ810" s="1"/>
      <c r="PGA810" s="1"/>
      <c r="PGB810" s="1">
        <v>100302.53</v>
      </c>
      <c r="PGC810" s="41">
        <f>13095.23+544.5+254739.02</f>
        <v>268378.75</v>
      </c>
      <c r="PGD810" s="1">
        <f t="shared" si="869"/>
        <v>168076.22</v>
      </c>
      <c r="PGE810" s="1">
        <f t="shared" si="870"/>
        <v>268378.75</v>
      </c>
      <c r="PGF810" s="11">
        <v>15320</v>
      </c>
      <c r="PGG810" s="11">
        <v>60900</v>
      </c>
      <c r="PGH810" s="42" t="s">
        <v>937</v>
      </c>
      <c r="PGI810" s="7"/>
      <c r="PGJ810" s="7"/>
      <c r="PGK810" s="7"/>
      <c r="PGL810" s="7"/>
      <c r="PGM810" s="7"/>
      <c r="PGN810" s="1"/>
      <c r="PGO810" s="1"/>
      <c r="PGP810" s="1"/>
      <c r="PGQ810" s="1"/>
      <c r="PGR810" s="7"/>
      <c r="PGS810" s="1"/>
      <c r="PGT810" s="1"/>
      <c r="PGU810" s="1"/>
      <c r="PGV810" s="1"/>
      <c r="PGW810" s="1"/>
      <c r="PGX810" s="1"/>
      <c r="PGY810" s="1"/>
      <c r="PGZ810" s="1"/>
      <c r="PHA810" s="1"/>
      <c r="PHB810" s="1"/>
      <c r="PHC810" s="1"/>
      <c r="PHD810" s="41"/>
      <c r="PHE810" s="1"/>
      <c r="PHF810" s="1"/>
      <c r="PHG810" s="1"/>
      <c r="PHH810" s="1">
        <v>100302.53</v>
      </c>
      <c r="PHI810" s="41">
        <f>13095.23+544.5+254739.02</f>
        <v>268378.75</v>
      </c>
      <c r="PHJ810" s="1">
        <f t="shared" ref="PHJ810:PIP810" si="871">PHI810-PHH810</f>
        <v>168076.22</v>
      </c>
      <c r="PHK810" s="1">
        <f t="shared" ref="PHK810:PIQ810" si="872">PHH810+PHJ810</f>
        <v>268378.75</v>
      </c>
      <c r="PHL810" s="11">
        <v>15320</v>
      </c>
      <c r="PHM810" s="11">
        <v>60900</v>
      </c>
      <c r="PHN810" s="42" t="s">
        <v>937</v>
      </c>
      <c r="PHO810" s="7"/>
      <c r="PHP810" s="7"/>
      <c r="PHQ810" s="7"/>
      <c r="PHR810" s="7"/>
      <c r="PHS810" s="7"/>
      <c r="PHT810" s="1"/>
      <c r="PHU810" s="1"/>
      <c r="PHV810" s="1"/>
      <c r="PHW810" s="1"/>
      <c r="PHX810" s="7"/>
      <c r="PHY810" s="1"/>
      <c r="PHZ810" s="1"/>
      <c r="PIA810" s="1"/>
      <c r="PIB810" s="1"/>
      <c r="PIC810" s="1"/>
      <c r="PID810" s="1"/>
      <c r="PIE810" s="1"/>
      <c r="PIF810" s="1"/>
      <c r="PIG810" s="1"/>
      <c r="PIH810" s="1"/>
      <c r="PII810" s="1"/>
      <c r="PIJ810" s="41"/>
      <c r="PIK810" s="1"/>
      <c r="PIL810" s="1"/>
      <c r="PIM810" s="1"/>
      <c r="PIN810" s="1">
        <v>100302.53</v>
      </c>
      <c r="PIO810" s="41">
        <f>13095.23+544.5+254739.02</f>
        <v>268378.75</v>
      </c>
      <c r="PIP810" s="1">
        <f t="shared" si="871"/>
        <v>168076.22</v>
      </c>
      <c r="PIQ810" s="1">
        <f t="shared" si="872"/>
        <v>268378.75</v>
      </c>
      <c r="PIR810" s="11">
        <v>15320</v>
      </c>
      <c r="PIS810" s="11">
        <v>60900</v>
      </c>
      <c r="PIT810" s="42" t="s">
        <v>937</v>
      </c>
      <c r="PIU810" s="7"/>
      <c r="PIV810" s="7"/>
      <c r="PIW810" s="7"/>
      <c r="PIX810" s="7"/>
      <c r="PIY810" s="7"/>
      <c r="PIZ810" s="1"/>
      <c r="PJA810" s="1"/>
      <c r="PJB810" s="1"/>
      <c r="PJC810" s="1"/>
      <c r="PJD810" s="7"/>
      <c r="PJE810" s="1"/>
      <c r="PJF810" s="1"/>
      <c r="PJG810" s="1"/>
      <c r="PJH810" s="1"/>
      <c r="PJI810" s="1"/>
      <c r="PJJ810" s="1"/>
      <c r="PJK810" s="1"/>
      <c r="PJL810" s="1"/>
      <c r="PJM810" s="1"/>
      <c r="PJN810" s="1"/>
      <c r="PJO810" s="1"/>
      <c r="PJP810" s="41"/>
      <c r="PJQ810" s="1"/>
      <c r="PJR810" s="1"/>
      <c r="PJS810" s="1"/>
      <c r="PJT810" s="1">
        <v>100302.53</v>
      </c>
      <c r="PJU810" s="41">
        <f>13095.23+544.5+254739.02</f>
        <v>268378.75</v>
      </c>
      <c r="PJV810" s="1">
        <f t="shared" ref="PJV810:PLB810" si="873">PJU810-PJT810</f>
        <v>168076.22</v>
      </c>
      <c r="PJW810" s="1">
        <f t="shared" ref="PJW810:PLC810" si="874">PJT810+PJV810</f>
        <v>268378.75</v>
      </c>
      <c r="PJX810" s="11">
        <v>15320</v>
      </c>
      <c r="PJY810" s="11">
        <v>60900</v>
      </c>
      <c r="PJZ810" s="42" t="s">
        <v>937</v>
      </c>
      <c r="PKA810" s="7"/>
      <c r="PKB810" s="7"/>
      <c r="PKC810" s="7"/>
      <c r="PKD810" s="7"/>
      <c r="PKE810" s="7"/>
      <c r="PKF810" s="1"/>
      <c r="PKG810" s="1"/>
      <c r="PKH810" s="1"/>
      <c r="PKI810" s="1"/>
      <c r="PKJ810" s="7"/>
      <c r="PKK810" s="1"/>
      <c r="PKL810" s="1"/>
      <c r="PKM810" s="1"/>
      <c r="PKN810" s="1"/>
      <c r="PKO810" s="1"/>
      <c r="PKP810" s="1"/>
      <c r="PKQ810" s="1"/>
      <c r="PKR810" s="1"/>
      <c r="PKS810" s="1"/>
      <c r="PKT810" s="1"/>
      <c r="PKU810" s="1"/>
      <c r="PKV810" s="41"/>
      <c r="PKW810" s="1"/>
      <c r="PKX810" s="1"/>
      <c r="PKY810" s="1"/>
      <c r="PKZ810" s="1">
        <v>100302.53</v>
      </c>
      <c r="PLA810" s="41">
        <f>13095.23+544.5+254739.02</f>
        <v>268378.75</v>
      </c>
      <c r="PLB810" s="1">
        <f t="shared" si="873"/>
        <v>168076.22</v>
      </c>
      <c r="PLC810" s="1">
        <f t="shared" si="874"/>
        <v>268378.75</v>
      </c>
      <c r="PLD810" s="11">
        <v>15320</v>
      </c>
      <c r="PLE810" s="11">
        <v>60900</v>
      </c>
      <c r="PLF810" s="42" t="s">
        <v>937</v>
      </c>
      <c r="PLG810" s="7"/>
      <c r="PLH810" s="7"/>
      <c r="PLI810" s="7"/>
      <c r="PLJ810" s="7"/>
      <c r="PLK810" s="7"/>
      <c r="PLL810" s="1"/>
      <c r="PLM810" s="1"/>
      <c r="PLN810" s="1"/>
      <c r="PLO810" s="1"/>
      <c r="PLP810" s="7"/>
      <c r="PLQ810" s="1"/>
      <c r="PLR810" s="1"/>
      <c r="PLS810" s="1"/>
      <c r="PLT810" s="1"/>
      <c r="PLU810" s="1"/>
      <c r="PLV810" s="1"/>
      <c r="PLW810" s="1"/>
      <c r="PLX810" s="1"/>
      <c r="PLY810" s="1"/>
      <c r="PLZ810" s="1"/>
      <c r="PMA810" s="1"/>
      <c r="PMB810" s="41"/>
      <c r="PMC810" s="1"/>
      <c r="PMD810" s="1"/>
      <c r="PME810" s="1"/>
      <c r="PMF810" s="1">
        <v>100302.53</v>
      </c>
      <c r="PMG810" s="41">
        <f>13095.23+544.5+254739.02</f>
        <v>268378.75</v>
      </c>
      <c r="PMH810" s="1">
        <f t="shared" ref="PMH810:PNN810" si="875">PMG810-PMF810</f>
        <v>168076.22</v>
      </c>
      <c r="PMI810" s="1">
        <f t="shared" ref="PMI810:PNO810" si="876">PMF810+PMH810</f>
        <v>268378.75</v>
      </c>
      <c r="PMJ810" s="11">
        <v>15320</v>
      </c>
      <c r="PMK810" s="11">
        <v>60900</v>
      </c>
      <c r="PML810" s="42" t="s">
        <v>937</v>
      </c>
      <c r="PMM810" s="7"/>
      <c r="PMN810" s="7"/>
      <c r="PMO810" s="7"/>
      <c r="PMP810" s="7"/>
      <c r="PMQ810" s="7"/>
      <c r="PMR810" s="1"/>
      <c r="PMS810" s="1"/>
      <c r="PMT810" s="1"/>
      <c r="PMU810" s="1"/>
      <c r="PMV810" s="7"/>
      <c r="PMW810" s="1"/>
      <c r="PMX810" s="1"/>
      <c r="PMY810" s="1"/>
      <c r="PMZ810" s="1"/>
      <c r="PNA810" s="1"/>
      <c r="PNB810" s="1"/>
      <c r="PNC810" s="1"/>
      <c r="PND810" s="1"/>
      <c r="PNE810" s="1"/>
      <c r="PNF810" s="1"/>
      <c r="PNG810" s="1"/>
      <c r="PNH810" s="41"/>
      <c r="PNI810" s="1"/>
      <c r="PNJ810" s="1"/>
      <c r="PNK810" s="1"/>
      <c r="PNL810" s="1">
        <v>100302.53</v>
      </c>
      <c r="PNM810" s="41">
        <f>13095.23+544.5+254739.02</f>
        <v>268378.75</v>
      </c>
      <c r="PNN810" s="1">
        <f t="shared" si="875"/>
        <v>168076.22</v>
      </c>
      <c r="PNO810" s="1">
        <f t="shared" si="876"/>
        <v>268378.75</v>
      </c>
      <c r="PNP810" s="11">
        <v>15320</v>
      </c>
      <c r="PNQ810" s="11">
        <v>60900</v>
      </c>
      <c r="PNR810" s="42" t="s">
        <v>937</v>
      </c>
      <c r="PNS810" s="7"/>
      <c r="PNT810" s="7"/>
      <c r="PNU810" s="7"/>
      <c r="PNV810" s="7"/>
      <c r="PNW810" s="7"/>
      <c r="PNX810" s="1"/>
      <c r="PNY810" s="1"/>
      <c r="PNZ810" s="1"/>
      <c r="POA810" s="1"/>
      <c r="POB810" s="7"/>
      <c r="POC810" s="1"/>
      <c r="POD810" s="1"/>
      <c r="POE810" s="1"/>
      <c r="POF810" s="1"/>
      <c r="POG810" s="1"/>
      <c r="POH810" s="1"/>
      <c r="POI810" s="1"/>
      <c r="POJ810" s="1"/>
      <c r="POK810" s="1"/>
      <c r="POL810" s="1"/>
      <c r="POM810" s="1"/>
      <c r="PON810" s="41"/>
      <c r="POO810" s="1"/>
      <c r="POP810" s="1"/>
      <c r="POQ810" s="1"/>
      <c r="POR810" s="1">
        <v>100302.53</v>
      </c>
      <c r="POS810" s="41">
        <f>13095.23+544.5+254739.02</f>
        <v>268378.75</v>
      </c>
      <c r="POT810" s="1">
        <f t="shared" ref="POT810:PPZ810" si="877">POS810-POR810</f>
        <v>168076.22</v>
      </c>
      <c r="POU810" s="1">
        <f t="shared" ref="POU810:PQA810" si="878">POR810+POT810</f>
        <v>268378.75</v>
      </c>
      <c r="POV810" s="11">
        <v>15320</v>
      </c>
      <c r="POW810" s="11">
        <v>60900</v>
      </c>
      <c r="POX810" s="42" t="s">
        <v>937</v>
      </c>
      <c r="POY810" s="7"/>
      <c r="POZ810" s="7"/>
      <c r="PPA810" s="7"/>
      <c r="PPB810" s="7"/>
      <c r="PPC810" s="7"/>
      <c r="PPD810" s="1"/>
      <c r="PPE810" s="1"/>
      <c r="PPF810" s="1"/>
      <c r="PPG810" s="1"/>
      <c r="PPH810" s="7"/>
      <c r="PPI810" s="1"/>
      <c r="PPJ810" s="1"/>
      <c r="PPK810" s="1"/>
      <c r="PPL810" s="1"/>
      <c r="PPM810" s="1"/>
      <c r="PPN810" s="1"/>
      <c r="PPO810" s="1"/>
      <c r="PPP810" s="1"/>
      <c r="PPQ810" s="1"/>
      <c r="PPR810" s="1"/>
      <c r="PPS810" s="1"/>
      <c r="PPT810" s="41"/>
      <c r="PPU810" s="1"/>
      <c r="PPV810" s="1"/>
      <c r="PPW810" s="1"/>
      <c r="PPX810" s="1">
        <v>100302.53</v>
      </c>
      <c r="PPY810" s="41">
        <f>13095.23+544.5+254739.02</f>
        <v>268378.75</v>
      </c>
      <c r="PPZ810" s="1">
        <f t="shared" si="877"/>
        <v>168076.22</v>
      </c>
      <c r="PQA810" s="1">
        <f t="shared" si="878"/>
        <v>268378.75</v>
      </c>
      <c r="PQB810" s="11">
        <v>15320</v>
      </c>
      <c r="PQC810" s="11">
        <v>60900</v>
      </c>
      <c r="PQD810" s="42" t="s">
        <v>937</v>
      </c>
      <c r="PQE810" s="7"/>
      <c r="PQF810" s="7"/>
      <c r="PQG810" s="7"/>
      <c r="PQH810" s="7"/>
      <c r="PQI810" s="7"/>
      <c r="PQJ810" s="1"/>
      <c r="PQK810" s="1"/>
      <c r="PQL810" s="1"/>
      <c r="PQM810" s="1"/>
      <c r="PQN810" s="7"/>
      <c r="PQO810" s="1"/>
      <c r="PQP810" s="1"/>
      <c r="PQQ810" s="1"/>
      <c r="PQR810" s="1"/>
      <c r="PQS810" s="1"/>
      <c r="PQT810" s="1"/>
      <c r="PQU810" s="1"/>
      <c r="PQV810" s="1"/>
      <c r="PQW810" s="1"/>
      <c r="PQX810" s="1"/>
      <c r="PQY810" s="1"/>
      <c r="PQZ810" s="41"/>
      <c r="PRA810" s="1"/>
      <c r="PRB810" s="1"/>
      <c r="PRC810" s="1"/>
      <c r="PRD810" s="1">
        <v>100302.53</v>
      </c>
      <c r="PRE810" s="41">
        <f>13095.23+544.5+254739.02</f>
        <v>268378.75</v>
      </c>
      <c r="PRF810" s="1">
        <f t="shared" ref="PRF810:PSL810" si="879">PRE810-PRD810</f>
        <v>168076.22</v>
      </c>
      <c r="PRG810" s="1">
        <f t="shared" ref="PRG810:PSM810" si="880">PRD810+PRF810</f>
        <v>268378.75</v>
      </c>
      <c r="PRH810" s="11">
        <v>15320</v>
      </c>
      <c r="PRI810" s="11">
        <v>60900</v>
      </c>
      <c r="PRJ810" s="42" t="s">
        <v>937</v>
      </c>
      <c r="PRK810" s="7"/>
      <c r="PRL810" s="7"/>
      <c r="PRM810" s="7"/>
      <c r="PRN810" s="7"/>
      <c r="PRO810" s="7"/>
      <c r="PRP810" s="1"/>
      <c r="PRQ810" s="1"/>
      <c r="PRR810" s="1"/>
      <c r="PRS810" s="1"/>
      <c r="PRT810" s="7"/>
      <c r="PRU810" s="1"/>
      <c r="PRV810" s="1"/>
      <c r="PRW810" s="1"/>
      <c r="PRX810" s="1"/>
      <c r="PRY810" s="1"/>
      <c r="PRZ810" s="1"/>
      <c r="PSA810" s="1"/>
      <c r="PSB810" s="1"/>
      <c r="PSC810" s="1"/>
      <c r="PSD810" s="1"/>
      <c r="PSE810" s="1"/>
      <c r="PSF810" s="41"/>
      <c r="PSG810" s="1"/>
      <c r="PSH810" s="1"/>
      <c r="PSI810" s="1"/>
      <c r="PSJ810" s="1">
        <v>100302.53</v>
      </c>
      <c r="PSK810" s="41">
        <f>13095.23+544.5+254739.02</f>
        <v>268378.75</v>
      </c>
      <c r="PSL810" s="1">
        <f t="shared" si="879"/>
        <v>168076.22</v>
      </c>
      <c r="PSM810" s="1">
        <f t="shared" si="880"/>
        <v>268378.75</v>
      </c>
      <c r="PSN810" s="11">
        <v>15320</v>
      </c>
      <c r="PSO810" s="11">
        <v>60900</v>
      </c>
      <c r="PSP810" s="42" t="s">
        <v>937</v>
      </c>
      <c r="PSQ810" s="7"/>
      <c r="PSR810" s="7"/>
      <c r="PSS810" s="7"/>
      <c r="PST810" s="7"/>
      <c r="PSU810" s="7"/>
      <c r="PSV810" s="1"/>
      <c r="PSW810" s="1"/>
      <c r="PSX810" s="1"/>
      <c r="PSY810" s="1"/>
      <c r="PSZ810" s="7"/>
      <c r="PTA810" s="1"/>
      <c r="PTB810" s="1"/>
      <c r="PTC810" s="1"/>
      <c r="PTD810" s="1"/>
      <c r="PTE810" s="1"/>
      <c r="PTF810" s="1"/>
      <c r="PTG810" s="1"/>
      <c r="PTH810" s="1"/>
      <c r="PTI810" s="1"/>
      <c r="PTJ810" s="1"/>
      <c r="PTK810" s="1"/>
      <c r="PTL810" s="41"/>
      <c r="PTM810" s="1"/>
      <c r="PTN810" s="1"/>
      <c r="PTO810" s="1"/>
      <c r="PTP810" s="1">
        <v>100302.53</v>
      </c>
      <c r="PTQ810" s="41">
        <f>13095.23+544.5+254739.02</f>
        <v>268378.75</v>
      </c>
      <c r="PTR810" s="1">
        <f t="shared" ref="PTR810:PUX810" si="881">PTQ810-PTP810</f>
        <v>168076.22</v>
      </c>
      <c r="PTS810" s="1">
        <f t="shared" ref="PTS810:PUY810" si="882">PTP810+PTR810</f>
        <v>268378.75</v>
      </c>
      <c r="PTT810" s="11">
        <v>15320</v>
      </c>
      <c r="PTU810" s="11">
        <v>60900</v>
      </c>
      <c r="PTV810" s="42" t="s">
        <v>937</v>
      </c>
      <c r="PTW810" s="7"/>
      <c r="PTX810" s="7"/>
      <c r="PTY810" s="7"/>
      <c r="PTZ810" s="7"/>
      <c r="PUA810" s="7"/>
      <c r="PUB810" s="1"/>
      <c r="PUC810" s="1"/>
      <c r="PUD810" s="1"/>
      <c r="PUE810" s="1"/>
      <c r="PUF810" s="7"/>
      <c r="PUG810" s="1"/>
      <c r="PUH810" s="1"/>
      <c r="PUI810" s="1"/>
      <c r="PUJ810" s="1"/>
      <c r="PUK810" s="1"/>
      <c r="PUL810" s="1"/>
      <c r="PUM810" s="1"/>
      <c r="PUN810" s="1"/>
      <c r="PUO810" s="1"/>
      <c r="PUP810" s="1"/>
      <c r="PUQ810" s="1"/>
      <c r="PUR810" s="41"/>
      <c r="PUS810" s="1"/>
      <c r="PUT810" s="1"/>
      <c r="PUU810" s="1"/>
      <c r="PUV810" s="1">
        <v>100302.53</v>
      </c>
      <c r="PUW810" s="41">
        <f>13095.23+544.5+254739.02</f>
        <v>268378.75</v>
      </c>
      <c r="PUX810" s="1">
        <f t="shared" si="881"/>
        <v>168076.22</v>
      </c>
      <c r="PUY810" s="1">
        <f t="shared" si="882"/>
        <v>268378.75</v>
      </c>
      <c r="PUZ810" s="11">
        <v>15320</v>
      </c>
      <c r="PVA810" s="11">
        <v>60900</v>
      </c>
      <c r="PVB810" s="42" t="s">
        <v>937</v>
      </c>
      <c r="PVC810" s="7"/>
      <c r="PVD810" s="7"/>
      <c r="PVE810" s="7"/>
      <c r="PVF810" s="7"/>
      <c r="PVG810" s="7"/>
      <c r="PVH810" s="1"/>
      <c r="PVI810" s="1"/>
      <c r="PVJ810" s="1"/>
      <c r="PVK810" s="1"/>
      <c r="PVL810" s="7"/>
      <c r="PVM810" s="1"/>
      <c r="PVN810" s="1"/>
      <c r="PVO810" s="1"/>
      <c r="PVP810" s="1"/>
      <c r="PVQ810" s="1"/>
      <c r="PVR810" s="1"/>
      <c r="PVS810" s="1"/>
      <c r="PVT810" s="1"/>
      <c r="PVU810" s="1"/>
      <c r="PVV810" s="1"/>
      <c r="PVW810" s="1"/>
      <c r="PVX810" s="41"/>
      <c r="PVY810" s="1"/>
      <c r="PVZ810" s="1"/>
      <c r="PWA810" s="1"/>
      <c r="PWB810" s="1">
        <v>100302.53</v>
      </c>
      <c r="PWC810" s="41">
        <f>13095.23+544.5+254739.02</f>
        <v>268378.75</v>
      </c>
      <c r="PWD810" s="1">
        <f t="shared" ref="PWD810:PXJ810" si="883">PWC810-PWB810</f>
        <v>168076.22</v>
      </c>
      <c r="PWE810" s="1">
        <f t="shared" ref="PWE810:PXK810" si="884">PWB810+PWD810</f>
        <v>268378.75</v>
      </c>
      <c r="PWF810" s="11">
        <v>15320</v>
      </c>
      <c r="PWG810" s="11">
        <v>60900</v>
      </c>
      <c r="PWH810" s="42" t="s">
        <v>937</v>
      </c>
      <c r="PWI810" s="7"/>
      <c r="PWJ810" s="7"/>
      <c r="PWK810" s="7"/>
      <c r="PWL810" s="7"/>
      <c r="PWM810" s="7"/>
      <c r="PWN810" s="1"/>
      <c r="PWO810" s="1"/>
      <c r="PWP810" s="1"/>
      <c r="PWQ810" s="1"/>
      <c r="PWR810" s="7"/>
      <c r="PWS810" s="1"/>
      <c r="PWT810" s="1"/>
      <c r="PWU810" s="1"/>
      <c r="PWV810" s="1"/>
      <c r="PWW810" s="1"/>
      <c r="PWX810" s="1"/>
      <c r="PWY810" s="1"/>
      <c r="PWZ810" s="1"/>
      <c r="PXA810" s="1"/>
      <c r="PXB810" s="1"/>
      <c r="PXC810" s="1"/>
      <c r="PXD810" s="41"/>
      <c r="PXE810" s="1"/>
      <c r="PXF810" s="1"/>
      <c r="PXG810" s="1"/>
      <c r="PXH810" s="1">
        <v>100302.53</v>
      </c>
      <c r="PXI810" s="41">
        <f>13095.23+544.5+254739.02</f>
        <v>268378.75</v>
      </c>
      <c r="PXJ810" s="1">
        <f t="shared" si="883"/>
        <v>168076.22</v>
      </c>
      <c r="PXK810" s="1">
        <f t="shared" si="884"/>
        <v>268378.75</v>
      </c>
      <c r="PXL810" s="11">
        <v>15320</v>
      </c>
      <c r="PXM810" s="11">
        <v>60900</v>
      </c>
      <c r="PXN810" s="42" t="s">
        <v>937</v>
      </c>
      <c r="PXO810" s="7"/>
      <c r="PXP810" s="7"/>
      <c r="PXQ810" s="7"/>
      <c r="PXR810" s="7"/>
      <c r="PXS810" s="7"/>
      <c r="PXT810" s="1"/>
      <c r="PXU810" s="1"/>
      <c r="PXV810" s="1"/>
      <c r="PXW810" s="1"/>
      <c r="PXX810" s="7"/>
      <c r="PXY810" s="1"/>
      <c r="PXZ810" s="1"/>
      <c r="PYA810" s="1"/>
      <c r="PYB810" s="1"/>
      <c r="PYC810" s="1"/>
      <c r="PYD810" s="1"/>
      <c r="PYE810" s="1"/>
      <c r="PYF810" s="1"/>
      <c r="PYG810" s="1"/>
      <c r="PYH810" s="1"/>
      <c r="PYI810" s="1"/>
      <c r="PYJ810" s="41"/>
      <c r="PYK810" s="1"/>
      <c r="PYL810" s="1"/>
      <c r="PYM810" s="1"/>
      <c r="PYN810" s="1">
        <v>100302.53</v>
      </c>
      <c r="PYO810" s="41">
        <f>13095.23+544.5+254739.02</f>
        <v>268378.75</v>
      </c>
      <c r="PYP810" s="1">
        <f t="shared" ref="PYP810:PZV810" si="885">PYO810-PYN810</f>
        <v>168076.22</v>
      </c>
      <c r="PYQ810" s="1">
        <f t="shared" ref="PYQ810:PZW810" si="886">PYN810+PYP810</f>
        <v>268378.75</v>
      </c>
      <c r="PYR810" s="11">
        <v>15320</v>
      </c>
      <c r="PYS810" s="11">
        <v>60900</v>
      </c>
      <c r="PYT810" s="42" t="s">
        <v>937</v>
      </c>
      <c r="PYU810" s="7"/>
      <c r="PYV810" s="7"/>
      <c r="PYW810" s="7"/>
      <c r="PYX810" s="7"/>
      <c r="PYY810" s="7"/>
      <c r="PYZ810" s="1"/>
      <c r="PZA810" s="1"/>
      <c r="PZB810" s="1"/>
      <c r="PZC810" s="1"/>
      <c r="PZD810" s="7"/>
      <c r="PZE810" s="1"/>
      <c r="PZF810" s="1"/>
      <c r="PZG810" s="1"/>
      <c r="PZH810" s="1"/>
      <c r="PZI810" s="1"/>
      <c r="PZJ810" s="1"/>
      <c r="PZK810" s="1"/>
      <c r="PZL810" s="1"/>
      <c r="PZM810" s="1"/>
      <c r="PZN810" s="1"/>
      <c r="PZO810" s="1"/>
      <c r="PZP810" s="41"/>
      <c r="PZQ810" s="1"/>
      <c r="PZR810" s="1"/>
      <c r="PZS810" s="1"/>
      <c r="PZT810" s="1">
        <v>100302.53</v>
      </c>
      <c r="PZU810" s="41">
        <f>13095.23+544.5+254739.02</f>
        <v>268378.75</v>
      </c>
      <c r="PZV810" s="1">
        <f t="shared" si="885"/>
        <v>168076.22</v>
      </c>
      <c r="PZW810" s="1">
        <f t="shared" si="886"/>
        <v>268378.75</v>
      </c>
      <c r="PZX810" s="11">
        <v>15320</v>
      </c>
      <c r="PZY810" s="11">
        <v>60900</v>
      </c>
      <c r="PZZ810" s="42" t="s">
        <v>937</v>
      </c>
      <c r="QAA810" s="7"/>
      <c r="QAB810" s="7"/>
      <c r="QAC810" s="7"/>
      <c r="QAD810" s="7"/>
      <c r="QAE810" s="7"/>
      <c r="QAF810" s="1"/>
      <c r="QAG810" s="1"/>
      <c r="QAH810" s="1"/>
      <c r="QAI810" s="1"/>
      <c r="QAJ810" s="7"/>
      <c r="QAK810" s="1"/>
      <c r="QAL810" s="1"/>
      <c r="QAM810" s="1"/>
      <c r="QAN810" s="1"/>
      <c r="QAO810" s="1"/>
      <c r="QAP810" s="1"/>
      <c r="QAQ810" s="1"/>
      <c r="QAR810" s="1"/>
      <c r="QAS810" s="1"/>
      <c r="QAT810" s="1"/>
      <c r="QAU810" s="1"/>
      <c r="QAV810" s="41"/>
      <c r="QAW810" s="1"/>
      <c r="QAX810" s="1"/>
      <c r="QAY810" s="1"/>
      <c r="QAZ810" s="1">
        <v>100302.53</v>
      </c>
      <c r="QBA810" s="41">
        <f>13095.23+544.5+254739.02</f>
        <v>268378.75</v>
      </c>
      <c r="QBB810" s="1">
        <f t="shared" ref="QBB810:QCH810" si="887">QBA810-QAZ810</f>
        <v>168076.22</v>
      </c>
      <c r="QBC810" s="1">
        <f t="shared" ref="QBC810:QCI810" si="888">QAZ810+QBB810</f>
        <v>268378.75</v>
      </c>
      <c r="QBD810" s="11">
        <v>15320</v>
      </c>
      <c r="QBE810" s="11">
        <v>60900</v>
      </c>
      <c r="QBF810" s="42" t="s">
        <v>937</v>
      </c>
      <c r="QBG810" s="7"/>
      <c r="QBH810" s="7"/>
      <c r="QBI810" s="7"/>
      <c r="QBJ810" s="7"/>
      <c r="QBK810" s="7"/>
      <c r="QBL810" s="1"/>
      <c r="QBM810" s="1"/>
      <c r="QBN810" s="1"/>
      <c r="QBO810" s="1"/>
      <c r="QBP810" s="7"/>
      <c r="QBQ810" s="1"/>
      <c r="QBR810" s="1"/>
      <c r="QBS810" s="1"/>
      <c r="QBT810" s="1"/>
      <c r="QBU810" s="1"/>
      <c r="QBV810" s="1"/>
      <c r="QBW810" s="1"/>
      <c r="QBX810" s="1"/>
      <c r="QBY810" s="1"/>
      <c r="QBZ810" s="1"/>
      <c r="QCA810" s="1"/>
      <c r="QCB810" s="41"/>
      <c r="QCC810" s="1"/>
      <c r="QCD810" s="1"/>
      <c r="QCE810" s="1"/>
      <c r="QCF810" s="1">
        <v>100302.53</v>
      </c>
      <c r="QCG810" s="41">
        <f>13095.23+544.5+254739.02</f>
        <v>268378.75</v>
      </c>
      <c r="QCH810" s="1">
        <f t="shared" si="887"/>
        <v>168076.22</v>
      </c>
      <c r="QCI810" s="1">
        <f t="shared" si="888"/>
        <v>268378.75</v>
      </c>
      <c r="QCJ810" s="11">
        <v>15320</v>
      </c>
      <c r="QCK810" s="11">
        <v>60900</v>
      </c>
      <c r="QCL810" s="42" t="s">
        <v>937</v>
      </c>
      <c r="QCM810" s="7"/>
      <c r="QCN810" s="7"/>
      <c r="QCO810" s="7"/>
      <c r="QCP810" s="7"/>
      <c r="QCQ810" s="7"/>
      <c r="QCR810" s="1"/>
      <c r="QCS810" s="1"/>
      <c r="QCT810" s="1"/>
      <c r="QCU810" s="1"/>
      <c r="QCV810" s="7"/>
      <c r="QCW810" s="1"/>
      <c r="QCX810" s="1"/>
      <c r="QCY810" s="1"/>
      <c r="QCZ810" s="1"/>
      <c r="QDA810" s="1"/>
      <c r="QDB810" s="1"/>
      <c r="QDC810" s="1"/>
      <c r="QDD810" s="1"/>
      <c r="QDE810" s="1"/>
      <c r="QDF810" s="1"/>
      <c r="QDG810" s="1"/>
      <c r="QDH810" s="41"/>
      <c r="QDI810" s="1"/>
      <c r="QDJ810" s="1"/>
      <c r="QDK810" s="1"/>
      <c r="QDL810" s="1">
        <v>100302.53</v>
      </c>
      <c r="QDM810" s="41">
        <f>13095.23+544.5+254739.02</f>
        <v>268378.75</v>
      </c>
      <c r="QDN810" s="1">
        <f t="shared" ref="QDN810:QET810" si="889">QDM810-QDL810</f>
        <v>168076.22</v>
      </c>
      <c r="QDO810" s="1">
        <f t="shared" ref="QDO810:QEU810" si="890">QDL810+QDN810</f>
        <v>268378.75</v>
      </c>
      <c r="QDP810" s="11">
        <v>15320</v>
      </c>
      <c r="QDQ810" s="11">
        <v>60900</v>
      </c>
      <c r="QDR810" s="42" t="s">
        <v>937</v>
      </c>
      <c r="QDS810" s="7"/>
      <c r="QDT810" s="7"/>
      <c r="QDU810" s="7"/>
      <c r="QDV810" s="7"/>
      <c r="QDW810" s="7"/>
      <c r="QDX810" s="1"/>
      <c r="QDY810" s="1"/>
      <c r="QDZ810" s="1"/>
      <c r="QEA810" s="1"/>
      <c r="QEB810" s="7"/>
      <c r="QEC810" s="1"/>
      <c r="QED810" s="1"/>
      <c r="QEE810" s="1"/>
      <c r="QEF810" s="1"/>
      <c r="QEG810" s="1"/>
      <c r="QEH810" s="1"/>
      <c r="QEI810" s="1"/>
      <c r="QEJ810" s="1"/>
      <c r="QEK810" s="1"/>
      <c r="QEL810" s="1"/>
      <c r="QEM810" s="1"/>
      <c r="QEN810" s="41"/>
      <c r="QEO810" s="1"/>
      <c r="QEP810" s="1"/>
      <c r="QEQ810" s="1"/>
      <c r="QER810" s="1">
        <v>100302.53</v>
      </c>
      <c r="QES810" s="41">
        <f>13095.23+544.5+254739.02</f>
        <v>268378.75</v>
      </c>
      <c r="QET810" s="1">
        <f t="shared" si="889"/>
        <v>168076.22</v>
      </c>
      <c r="QEU810" s="1">
        <f t="shared" si="890"/>
        <v>268378.75</v>
      </c>
      <c r="QEV810" s="11">
        <v>15320</v>
      </c>
      <c r="QEW810" s="11">
        <v>60900</v>
      </c>
      <c r="QEX810" s="42" t="s">
        <v>937</v>
      </c>
      <c r="QEY810" s="7"/>
      <c r="QEZ810" s="7"/>
      <c r="QFA810" s="7"/>
      <c r="QFB810" s="7"/>
      <c r="QFC810" s="7"/>
      <c r="QFD810" s="1"/>
      <c r="QFE810" s="1"/>
      <c r="QFF810" s="1"/>
      <c r="QFG810" s="1"/>
      <c r="QFH810" s="7"/>
      <c r="QFI810" s="1"/>
      <c r="QFJ810" s="1"/>
      <c r="QFK810" s="1"/>
      <c r="QFL810" s="1"/>
      <c r="QFM810" s="1"/>
      <c r="QFN810" s="1"/>
      <c r="QFO810" s="1"/>
      <c r="QFP810" s="1"/>
      <c r="QFQ810" s="1"/>
      <c r="QFR810" s="1"/>
      <c r="QFS810" s="1"/>
      <c r="QFT810" s="41"/>
      <c r="QFU810" s="1"/>
      <c r="QFV810" s="1"/>
      <c r="QFW810" s="1"/>
      <c r="QFX810" s="1">
        <v>100302.53</v>
      </c>
      <c r="QFY810" s="41">
        <f>13095.23+544.5+254739.02</f>
        <v>268378.75</v>
      </c>
      <c r="QFZ810" s="1">
        <f t="shared" ref="QFZ810:QHF810" si="891">QFY810-QFX810</f>
        <v>168076.22</v>
      </c>
      <c r="QGA810" s="1">
        <f t="shared" ref="QGA810:QHG810" si="892">QFX810+QFZ810</f>
        <v>268378.75</v>
      </c>
      <c r="QGB810" s="11">
        <v>15320</v>
      </c>
      <c r="QGC810" s="11">
        <v>60900</v>
      </c>
      <c r="QGD810" s="42" t="s">
        <v>937</v>
      </c>
      <c r="QGE810" s="7"/>
      <c r="QGF810" s="7"/>
      <c r="QGG810" s="7"/>
      <c r="QGH810" s="7"/>
      <c r="QGI810" s="7"/>
      <c r="QGJ810" s="1"/>
      <c r="QGK810" s="1"/>
      <c r="QGL810" s="1"/>
      <c r="QGM810" s="1"/>
      <c r="QGN810" s="7"/>
      <c r="QGO810" s="1"/>
      <c r="QGP810" s="1"/>
      <c r="QGQ810" s="1"/>
      <c r="QGR810" s="1"/>
      <c r="QGS810" s="1"/>
      <c r="QGT810" s="1"/>
      <c r="QGU810" s="1"/>
      <c r="QGV810" s="1"/>
      <c r="QGW810" s="1"/>
      <c r="QGX810" s="1"/>
      <c r="QGY810" s="1"/>
      <c r="QGZ810" s="41"/>
      <c r="QHA810" s="1"/>
      <c r="QHB810" s="1"/>
      <c r="QHC810" s="1"/>
      <c r="QHD810" s="1">
        <v>100302.53</v>
      </c>
      <c r="QHE810" s="41">
        <f>13095.23+544.5+254739.02</f>
        <v>268378.75</v>
      </c>
      <c r="QHF810" s="1">
        <f t="shared" si="891"/>
        <v>168076.22</v>
      </c>
      <c r="QHG810" s="1">
        <f t="shared" si="892"/>
        <v>268378.75</v>
      </c>
      <c r="QHH810" s="11">
        <v>15320</v>
      </c>
      <c r="QHI810" s="11">
        <v>60900</v>
      </c>
      <c r="QHJ810" s="42" t="s">
        <v>937</v>
      </c>
      <c r="QHK810" s="7"/>
      <c r="QHL810" s="7"/>
      <c r="QHM810" s="7"/>
      <c r="QHN810" s="7"/>
      <c r="QHO810" s="7"/>
      <c r="QHP810" s="1"/>
      <c r="QHQ810" s="1"/>
      <c r="QHR810" s="1"/>
      <c r="QHS810" s="1"/>
      <c r="QHT810" s="7"/>
      <c r="QHU810" s="1"/>
      <c r="QHV810" s="1"/>
      <c r="QHW810" s="1"/>
      <c r="QHX810" s="1"/>
      <c r="QHY810" s="1"/>
      <c r="QHZ810" s="1"/>
      <c r="QIA810" s="1"/>
      <c r="QIB810" s="1"/>
      <c r="QIC810" s="1"/>
      <c r="QID810" s="1"/>
      <c r="QIE810" s="1"/>
      <c r="QIF810" s="41"/>
      <c r="QIG810" s="1"/>
      <c r="QIH810" s="1"/>
      <c r="QII810" s="1"/>
      <c r="QIJ810" s="1">
        <v>100302.53</v>
      </c>
      <c r="QIK810" s="41">
        <f>13095.23+544.5+254739.02</f>
        <v>268378.75</v>
      </c>
      <c r="QIL810" s="1">
        <f t="shared" ref="QIL810:QJR810" si="893">QIK810-QIJ810</f>
        <v>168076.22</v>
      </c>
      <c r="QIM810" s="1">
        <f t="shared" ref="QIM810:QJS810" si="894">QIJ810+QIL810</f>
        <v>268378.75</v>
      </c>
      <c r="QIN810" s="11">
        <v>15320</v>
      </c>
      <c r="QIO810" s="11">
        <v>60900</v>
      </c>
      <c r="QIP810" s="42" t="s">
        <v>937</v>
      </c>
      <c r="QIQ810" s="7"/>
      <c r="QIR810" s="7"/>
      <c r="QIS810" s="7"/>
      <c r="QIT810" s="7"/>
      <c r="QIU810" s="7"/>
      <c r="QIV810" s="1"/>
      <c r="QIW810" s="1"/>
      <c r="QIX810" s="1"/>
      <c r="QIY810" s="1"/>
      <c r="QIZ810" s="7"/>
      <c r="QJA810" s="1"/>
      <c r="QJB810" s="1"/>
      <c r="QJC810" s="1"/>
      <c r="QJD810" s="1"/>
      <c r="QJE810" s="1"/>
      <c r="QJF810" s="1"/>
      <c r="QJG810" s="1"/>
      <c r="QJH810" s="1"/>
      <c r="QJI810" s="1"/>
      <c r="QJJ810" s="1"/>
      <c r="QJK810" s="1"/>
      <c r="QJL810" s="41"/>
      <c r="QJM810" s="1"/>
      <c r="QJN810" s="1"/>
      <c r="QJO810" s="1"/>
      <c r="QJP810" s="1">
        <v>100302.53</v>
      </c>
      <c r="QJQ810" s="41">
        <f>13095.23+544.5+254739.02</f>
        <v>268378.75</v>
      </c>
      <c r="QJR810" s="1">
        <f t="shared" si="893"/>
        <v>168076.22</v>
      </c>
      <c r="QJS810" s="1">
        <f t="shared" si="894"/>
        <v>268378.75</v>
      </c>
      <c r="QJT810" s="11">
        <v>15320</v>
      </c>
      <c r="QJU810" s="11">
        <v>60900</v>
      </c>
      <c r="QJV810" s="42" t="s">
        <v>937</v>
      </c>
      <c r="QJW810" s="7"/>
      <c r="QJX810" s="7"/>
      <c r="QJY810" s="7"/>
      <c r="QJZ810" s="7"/>
      <c r="QKA810" s="7"/>
      <c r="QKB810" s="1"/>
      <c r="QKC810" s="1"/>
      <c r="QKD810" s="1"/>
      <c r="QKE810" s="1"/>
      <c r="QKF810" s="7"/>
      <c r="QKG810" s="1"/>
      <c r="QKH810" s="1"/>
      <c r="QKI810" s="1"/>
      <c r="QKJ810" s="1"/>
      <c r="QKK810" s="1"/>
      <c r="QKL810" s="1"/>
      <c r="QKM810" s="1"/>
      <c r="QKN810" s="1"/>
      <c r="QKO810" s="1"/>
      <c r="QKP810" s="1"/>
      <c r="QKQ810" s="1"/>
      <c r="QKR810" s="41"/>
      <c r="QKS810" s="1"/>
      <c r="QKT810" s="1"/>
      <c r="QKU810" s="1"/>
      <c r="QKV810" s="1">
        <v>100302.53</v>
      </c>
      <c r="QKW810" s="41">
        <f>13095.23+544.5+254739.02</f>
        <v>268378.75</v>
      </c>
      <c r="QKX810" s="1">
        <f t="shared" ref="QKX810:QMD810" si="895">QKW810-QKV810</f>
        <v>168076.22</v>
      </c>
      <c r="QKY810" s="1">
        <f t="shared" ref="QKY810:QME810" si="896">QKV810+QKX810</f>
        <v>268378.75</v>
      </c>
      <c r="QKZ810" s="11">
        <v>15320</v>
      </c>
      <c r="QLA810" s="11">
        <v>60900</v>
      </c>
      <c r="QLB810" s="42" t="s">
        <v>937</v>
      </c>
      <c r="QLC810" s="7"/>
      <c r="QLD810" s="7"/>
      <c r="QLE810" s="7"/>
      <c r="QLF810" s="7"/>
      <c r="QLG810" s="7"/>
      <c r="QLH810" s="1"/>
      <c r="QLI810" s="1"/>
      <c r="QLJ810" s="1"/>
      <c r="QLK810" s="1"/>
      <c r="QLL810" s="7"/>
      <c r="QLM810" s="1"/>
      <c r="QLN810" s="1"/>
      <c r="QLO810" s="1"/>
      <c r="QLP810" s="1"/>
      <c r="QLQ810" s="1"/>
      <c r="QLR810" s="1"/>
      <c r="QLS810" s="1"/>
      <c r="QLT810" s="1"/>
      <c r="QLU810" s="1"/>
      <c r="QLV810" s="1"/>
      <c r="QLW810" s="1"/>
      <c r="QLX810" s="41"/>
      <c r="QLY810" s="1"/>
      <c r="QLZ810" s="1"/>
      <c r="QMA810" s="1"/>
      <c r="QMB810" s="1">
        <v>100302.53</v>
      </c>
      <c r="QMC810" s="41">
        <f>13095.23+544.5+254739.02</f>
        <v>268378.75</v>
      </c>
      <c r="QMD810" s="1">
        <f t="shared" si="895"/>
        <v>168076.22</v>
      </c>
      <c r="QME810" s="1">
        <f t="shared" si="896"/>
        <v>268378.75</v>
      </c>
      <c r="QMF810" s="11">
        <v>15320</v>
      </c>
      <c r="QMG810" s="11">
        <v>60900</v>
      </c>
      <c r="QMH810" s="42" t="s">
        <v>937</v>
      </c>
      <c r="QMI810" s="7"/>
      <c r="QMJ810" s="7"/>
      <c r="QMK810" s="7"/>
      <c r="QML810" s="7"/>
      <c r="QMM810" s="7"/>
      <c r="QMN810" s="1"/>
      <c r="QMO810" s="1"/>
      <c r="QMP810" s="1"/>
      <c r="QMQ810" s="1"/>
      <c r="QMR810" s="7"/>
      <c r="QMS810" s="1"/>
      <c r="QMT810" s="1"/>
      <c r="QMU810" s="1"/>
      <c r="QMV810" s="1"/>
      <c r="QMW810" s="1"/>
      <c r="QMX810" s="1"/>
      <c r="QMY810" s="1"/>
      <c r="QMZ810" s="1"/>
      <c r="QNA810" s="1"/>
      <c r="QNB810" s="1"/>
      <c r="QNC810" s="1"/>
      <c r="QND810" s="41"/>
      <c r="QNE810" s="1"/>
      <c r="QNF810" s="1"/>
      <c r="QNG810" s="1"/>
      <c r="QNH810" s="1">
        <v>100302.53</v>
      </c>
      <c r="QNI810" s="41">
        <f>13095.23+544.5+254739.02</f>
        <v>268378.75</v>
      </c>
      <c r="QNJ810" s="1">
        <f t="shared" ref="QNJ810:QOP810" si="897">QNI810-QNH810</f>
        <v>168076.22</v>
      </c>
      <c r="QNK810" s="1">
        <f t="shared" ref="QNK810:QOQ810" si="898">QNH810+QNJ810</f>
        <v>268378.75</v>
      </c>
      <c r="QNL810" s="11">
        <v>15320</v>
      </c>
      <c r="QNM810" s="11">
        <v>60900</v>
      </c>
      <c r="QNN810" s="42" t="s">
        <v>937</v>
      </c>
      <c r="QNO810" s="7"/>
      <c r="QNP810" s="7"/>
      <c r="QNQ810" s="7"/>
      <c r="QNR810" s="7"/>
      <c r="QNS810" s="7"/>
      <c r="QNT810" s="1"/>
      <c r="QNU810" s="1"/>
      <c r="QNV810" s="1"/>
      <c r="QNW810" s="1"/>
      <c r="QNX810" s="7"/>
      <c r="QNY810" s="1"/>
      <c r="QNZ810" s="1"/>
      <c r="QOA810" s="1"/>
      <c r="QOB810" s="1"/>
      <c r="QOC810" s="1"/>
      <c r="QOD810" s="1"/>
      <c r="QOE810" s="1"/>
      <c r="QOF810" s="1"/>
      <c r="QOG810" s="1"/>
      <c r="QOH810" s="1"/>
      <c r="QOI810" s="1"/>
      <c r="QOJ810" s="41"/>
      <c r="QOK810" s="1"/>
      <c r="QOL810" s="1"/>
      <c r="QOM810" s="1"/>
      <c r="QON810" s="1">
        <v>100302.53</v>
      </c>
      <c r="QOO810" s="41">
        <f>13095.23+544.5+254739.02</f>
        <v>268378.75</v>
      </c>
      <c r="QOP810" s="1">
        <f t="shared" si="897"/>
        <v>168076.22</v>
      </c>
      <c r="QOQ810" s="1">
        <f t="shared" si="898"/>
        <v>268378.75</v>
      </c>
      <c r="QOR810" s="11">
        <v>15320</v>
      </c>
      <c r="QOS810" s="11">
        <v>60900</v>
      </c>
      <c r="QOT810" s="42" t="s">
        <v>937</v>
      </c>
      <c r="QOU810" s="7"/>
      <c r="QOV810" s="7"/>
      <c r="QOW810" s="7"/>
      <c r="QOX810" s="7"/>
      <c r="QOY810" s="7"/>
      <c r="QOZ810" s="1"/>
      <c r="QPA810" s="1"/>
      <c r="QPB810" s="1"/>
      <c r="QPC810" s="1"/>
      <c r="QPD810" s="7"/>
      <c r="QPE810" s="1"/>
      <c r="QPF810" s="1"/>
      <c r="QPG810" s="1"/>
      <c r="QPH810" s="1"/>
      <c r="QPI810" s="1"/>
      <c r="QPJ810" s="1"/>
      <c r="QPK810" s="1"/>
      <c r="QPL810" s="1"/>
      <c r="QPM810" s="1"/>
      <c r="QPN810" s="1"/>
      <c r="QPO810" s="1"/>
      <c r="QPP810" s="41"/>
      <c r="QPQ810" s="1"/>
      <c r="QPR810" s="1"/>
      <c r="QPS810" s="1"/>
      <c r="QPT810" s="1">
        <v>100302.53</v>
      </c>
      <c r="QPU810" s="41">
        <f>13095.23+544.5+254739.02</f>
        <v>268378.75</v>
      </c>
      <c r="QPV810" s="1">
        <f t="shared" ref="QPV810:QRB810" si="899">QPU810-QPT810</f>
        <v>168076.22</v>
      </c>
      <c r="QPW810" s="1">
        <f t="shared" ref="QPW810:QRC810" si="900">QPT810+QPV810</f>
        <v>268378.75</v>
      </c>
      <c r="QPX810" s="11">
        <v>15320</v>
      </c>
      <c r="QPY810" s="11">
        <v>60900</v>
      </c>
      <c r="QPZ810" s="42" t="s">
        <v>937</v>
      </c>
      <c r="QQA810" s="7"/>
      <c r="QQB810" s="7"/>
      <c r="QQC810" s="7"/>
      <c r="QQD810" s="7"/>
      <c r="QQE810" s="7"/>
      <c r="QQF810" s="1"/>
      <c r="QQG810" s="1"/>
      <c r="QQH810" s="1"/>
      <c r="QQI810" s="1"/>
      <c r="QQJ810" s="7"/>
      <c r="QQK810" s="1"/>
      <c r="QQL810" s="1"/>
      <c r="QQM810" s="1"/>
      <c r="QQN810" s="1"/>
      <c r="QQO810" s="1"/>
      <c r="QQP810" s="1"/>
      <c r="QQQ810" s="1"/>
      <c r="QQR810" s="1"/>
      <c r="QQS810" s="1"/>
      <c r="QQT810" s="1"/>
      <c r="QQU810" s="1"/>
      <c r="QQV810" s="41"/>
      <c r="QQW810" s="1"/>
      <c r="QQX810" s="1"/>
      <c r="QQY810" s="1"/>
      <c r="QQZ810" s="1">
        <v>100302.53</v>
      </c>
      <c r="QRA810" s="41">
        <f>13095.23+544.5+254739.02</f>
        <v>268378.75</v>
      </c>
      <c r="QRB810" s="1">
        <f t="shared" si="899"/>
        <v>168076.22</v>
      </c>
      <c r="QRC810" s="1">
        <f t="shared" si="900"/>
        <v>268378.75</v>
      </c>
      <c r="QRD810" s="11">
        <v>15320</v>
      </c>
      <c r="QRE810" s="11">
        <v>60900</v>
      </c>
      <c r="QRF810" s="42" t="s">
        <v>937</v>
      </c>
      <c r="QRG810" s="7"/>
      <c r="QRH810" s="7"/>
      <c r="QRI810" s="7"/>
      <c r="QRJ810" s="7"/>
      <c r="QRK810" s="7"/>
      <c r="QRL810" s="1"/>
      <c r="QRM810" s="1"/>
      <c r="QRN810" s="1"/>
      <c r="QRO810" s="1"/>
      <c r="QRP810" s="7"/>
      <c r="QRQ810" s="1"/>
      <c r="QRR810" s="1"/>
      <c r="QRS810" s="1"/>
      <c r="QRT810" s="1"/>
      <c r="QRU810" s="1"/>
      <c r="QRV810" s="1"/>
      <c r="QRW810" s="1"/>
      <c r="QRX810" s="1"/>
      <c r="QRY810" s="1"/>
      <c r="QRZ810" s="1"/>
      <c r="QSA810" s="1"/>
      <c r="QSB810" s="41"/>
      <c r="QSC810" s="1"/>
      <c r="QSD810" s="1"/>
      <c r="QSE810" s="1"/>
      <c r="QSF810" s="1">
        <v>100302.53</v>
      </c>
      <c r="QSG810" s="41">
        <f>13095.23+544.5+254739.02</f>
        <v>268378.75</v>
      </c>
      <c r="QSH810" s="1">
        <f t="shared" ref="QSH810:QTN810" si="901">QSG810-QSF810</f>
        <v>168076.22</v>
      </c>
      <c r="QSI810" s="1">
        <f t="shared" ref="QSI810:QTO810" si="902">QSF810+QSH810</f>
        <v>268378.75</v>
      </c>
      <c r="QSJ810" s="11">
        <v>15320</v>
      </c>
      <c r="QSK810" s="11">
        <v>60900</v>
      </c>
      <c r="QSL810" s="42" t="s">
        <v>937</v>
      </c>
      <c r="QSM810" s="7"/>
      <c r="QSN810" s="7"/>
      <c r="QSO810" s="7"/>
      <c r="QSP810" s="7"/>
      <c r="QSQ810" s="7"/>
      <c r="QSR810" s="1"/>
      <c r="QSS810" s="1"/>
      <c r="QST810" s="1"/>
      <c r="QSU810" s="1"/>
      <c r="QSV810" s="7"/>
      <c r="QSW810" s="1"/>
      <c r="QSX810" s="1"/>
      <c r="QSY810" s="1"/>
      <c r="QSZ810" s="1"/>
      <c r="QTA810" s="1"/>
      <c r="QTB810" s="1"/>
      <c r="QTC810" s="1"/>
      <c r="QTD810" s="1"/>
      <c r="QTE810" s="1"/>
      <c r="QTF810" s="1"/>
      <c r="QTG810" s="1"/>
      <c r="QTH810" s="41"/>
      <c r="QTI810" s="1"/>
      <c r="QTJ810" s="1"/>
      <c r="QTK810" s="1"/>
      <c r="QTL810" s="1">
        <v>100302.53</v>
      </c>
      <c r="QTM810" s="41">
        <f>13095.23+544.5+254739.02</f>
        <v>268378.75</v>
      </c>
      <c r="QTN810" s="1">
        <f t="shared" si="901"/>
        <v>168076.22</v>
      </c>
      <c r="QTO810" s="1">
        <f t="shared" si="902"/>
        <v>268378.75</v>
      </c>
      <c r="QTP810" s="11">
        <v>15320</v>
      </c>
      <c r="QTQ810" s="11">
        <v>60900</v>
      </c>
      <c r="QTR810" s="42" t="s">
        <v>937</v>
      </c>
      <c r="QTS810" s="7"/>
      <c r="QTT810" s="7"/>
      <c r="QTU810" s="7"/>
      <c r="QTV810" s="7"/>
      <c r="QTW810" s="7"/>
      <c r="QTX810" s="1"/>
      <c r="QTY810" s="1"/>
      <c r="QTZ810" s="1"/>
      <c r="QUA810" s="1"/>
      <c r="QUB810" s="7"/>
      <c r="QUC810" s="1"/>
      <c r="QUD810" s="1"/>
      <c r="QUE810" s="1"/>
      <c r="QUF810" s="1"/>
      <c r="QUG810" s="1"/>
      <c r="QUH810" s="1"/>
      <c r="QUI810" s="1"/>
      <c r="QUJ810" s="1"/>
      <c r="QUK810" s="1"/>
      <c r="QUL810" s="1"/>
      <c r="QUM810" s="1"/>
      <c r="QUN810" s="41"/>
      <c r="QUO810" s="1"/>
      <c r="QUP810" s="1"/>
      <c r="QUQ810" s="1"/>
      <c r="QUR810" s="1">
        <v>100302.53</v>
      </c>
      <c r="QUS810" s="41">
        <f>13095.23+544.5+254739.02</f>
        <v>268378.75</v>
      </c>
      <c r="QUT810" s="1">
        <f t="shared" ref="QUT810:QVZ810" si="903">QUS810-QUR810</f>
        <v>168076.22</v>
      </c>
      <c r="QUU810" s="1">
        <f t="shared" ref="QUU810:QWA810" si="904">QUR810+QUT810</f>
        <v>268378.75</v>
      </c>
      <c r="QUV810" s="11">
        <v>15320</v>
      </c>
      <c r="QUW810" s="11">
        <v>60900</v>
      </c>
      <c r="QUX810" s="42" t="s">
        <v>937</v>
      </c>
      <c r="QUY810" s="7"/>
      <c r="QUZ810" s="7"/>
      <c r="QVA810" s="7"/>
      <c r="QVB810" s="7"/>
      <c r="QVC810" s="7"/>
      <c r="QVD810" s="1"/>
      <c r="QVE810" s="1"/>
      <c r="QVF810" s="1"/>
      <c r="QVG810" s="1"/>
      <c r="QVH810" s="7"/>
      <c r="QVI810" s="1"/>
      <c r="QVJ810" s="1"/>
      <c r="QVK810" s="1"/>
      <c r="QVL810" s="1"/>
      <c r="QVM810" s="1"/>
      <c r="QVN810" s="1"/>
      <c r="QVO810" s="1"/>
      <c r="QVP810" s="1"/>
      <c r="QVQ810" s="1"/>
      <c r="QVR810" s="1"/>
      <c r="QVS810" s="1"/>
      <c r="QVT810" s="41"/>
      <c r="QVU810" s="1"/>
      <c r="QVV810" s="1"/>
      <c r="QVW810" s="1"/>
      <c r="QVX810" s="1">
        <v>100302.53</v>
      </c>
      <c r="QVY810" s="41">
        <f>13095.23+544.5+254739.02</f>
        <v>268378.75</v>
      </c>
      <c r="QVZ810" s="1">
        <f t="shared" si="903"/>
        <v>168076.22</v>
      </c>
      <c r="QWA810" s="1">
        <f t="shared" si="904"/>
        <v>268378.75</v>
      </c>
      <c r="QWB810" s="11">
        <v>15320</v>
      </c>
      <c r="QWC810" s="11">
        <v>60900</v>
      </c>
      <c r="QWD810" s="42" t="s">
        <v>937</v>
      </c>
      <c r="QWE810" s="7"/>
      <c r="QWF810" s="7"/>
      <c r="QWG810" s="7"/>
      <c r="QWH810" s="7"/>
      <c r="QWI810" s="7"/>
      <c r="QWJ810" s="1"/>
      <c r="QWK810" s="1"/>
      <c r="QWL810" s="1"/>
      <c r="QWM810" s="1"/>
      <c r="QWN810" s="7"/>
      <c r="QWO810" s="1"/>
      <c r="QWP810" s="1"/>
      <c r="QWQ810" s="1"/>
      <c r="QWR810" s="1"/>
      <c r="QWS810" s="1"/>
      <c r="QWT810" s="1"/>
      <c r="QWU810" s="1"/>
      <c r="QWV810" s="1"/>
      <c r="QWW810" s="1"/>
      <c r="QWX810" s="1"/>
      <c r="QWY810" s="1"/>
      <c r="QWZ810" s="41"/>
      <c r="QXA810" s="1"/>
      <c r="QXB810" s="1"/>
      <c r="QXC810" s="1"/>
      <c r="QXD810" s="1">
        <v>100302.53</v>
      </c>
      <c r="QXE810" s="41">
        <f>13095.23+544.5+254739.02</f>
        <v>268378.75</v>
      </c>
      <c r="QXF810" s="1">
        <f t="shared" ref="QXF810:QYL810" si="905">QXE810-QXD810</f>
        <v>168076.22</v>
      </c>
      <c r="QXG810" s="1">
        <f t="shared" ref="QXG810:QYM810" si="906">QXD810+QXF810</f>
        <v>268378.75</v>
      </c>
      <c r="QXH810" s="11">
        <v>15320</v>
      </c>
      <c r="QXI810" s="11">
        <v>60900</v>
      </c>
      <c r="QXJ810" s="42" t="s">
        <v>937</v>
      </c>
      <c r="QXK810" s="7"/>
      <c r="QXL810" s="7"/>
      <c r="QXM810" s="7"/>
      <c r="QXN810" s="7"/>
      <c r="QXO810" s="7"/>
      <c r="QXP810" s="1"/>
      <c r="QXQ810" s="1"/>
      <c r="QXR810" s="1"/>
      <c r="QXS810" s="1"/>
      <c r="QXT810" s="7"/>
      <c r="QXU810" s="1"/>
      <c r="QXV810" s="1"/>
      <c r="QXW810" s="1"/>
      <c r="QXX810" s="1"/>
      <c r="QXY810" s="1"/>
      <c r="QXZ810" s="1"/>
      <c r="QYA810" s="1"/>
      <c r="QYB810" s="1"/>
      <c r="QYC810" s="1"/>
      <c r="QYD810" s="1"/>
      <c r="QYE810" s="1"/>
      <c r="QYF810" s="41"/>
      <c r="QYG810" s="1"/>
      <c r="QYH810" s="1"/>
      <c r="QYI810" s="1"/>
      <c r="QYJ810" s="1">
        <v>100302.53</v>
      </c>
      <c r="QYK810" s="41">
        <f>13095.23+544.5+254739.02</f>
        <v>268378.75</v>
      </c>
      <c r="QYL810" s="1">
        <f t="shared" si="905"/>
        <v>168076.22</v>
      </c>
      <c r="QYM810" s="1">
        <f t="shared" si="906"/>
        <v>268378.75</v>
      </c>
      <c r="QYN810" s="11">
        <v>15320</v>
      </c>
      <c r="QYO810" s="11">
        <v>60900</v>
      </c>
      <c r="QYP810" s="42" t="s">
        <v>937</v>
      </c>
      <c r="QYQ810" s="7"/>
      <c r="QYR810" s="7"/>
      <c r="QYS810" s="7"/>
      <c r="QYT810" s="7"/>
      <c r="QYU810" s="7"/>
      <c r="QYV810" s="1"/>
      <c r="QYW810" s="1"/>
      <c r="QYX810" s="1"/>
      <c r="QYY810" s="1"/>
      <c r="QYZ810" s="7"/>
      <c r="QZA810" s="1"/>
      <c r="QZB810" s="1"/>
      <c r="QZC810" s="1"/>
      <c r="QZD810" s="1"/>
      <c r="QZE810" s="1"/>
      <c r="QZF810" s="1"/>
      <c r="QZG810" s="1"/>
      <c r="QZH810" s="1"/>
      <c r="QZI810" s="1"/>
      <c r="QZJ810" s="1"/>
      <c r="QZK810" s="1"/>
      <c r="QZL810" s="41"/>
      <c r="QZM810" s="1"/>
      <c r="QZN810" s="1"/>
      <c r="QZO810" s="1"/>
      <c r="QZP810" s="1">
        <v>100302.53</v>
      </c>
      <c r="QZQ810" s="41">
        <f>13095.23+544.5+254739.02</f>
        <v>268378.75</v>
      </c>
      <c r="QZR810" s="1">
        <f t="shared" ref="QZR810:RAX810" si="907">QZQ810-QZP810</f>
        <v>168076.22</v>
      </c>
      <c r="QZS810" s="1">
        <f t="shared" ref="QZS810:RAY810" si="908">QZP810+QZR810</f>
        <v>268378.75</v>
      </c>
      <c r="QZT810" s="11">
        <v>15320</v>
      </c>
      <c r="QZU810" s="11">
        <v>60900</v>
      </c>
      <c r="QZV810" s="42" t="s">
        <v>937</v>
      </c>
      <c r="QZW810" s="7"/>
      <c r="QZX810" s="7"/>
      <c r="QZY810" s="7"/>
      <c r="QZZ810" s="7"/>
      <c r="RAA810" s="7"/>
      <c r="RAB810" s="1"/>
      <c r="RAC810" s="1"/>
      <c r="RAD810" s="1"/>
      <c r="RAE810" s="1"/>
      <c r="RAF810" s="7"/>
      <c r="RAG810" s="1"/>
      <c r="RAH810" s="1"/>
      <c r="RAI810" s="1"/>
      <c r="RAJ810" s="1"/>
      <c r="RAK810" s="1"/>
      <c r="RAL810" s="1"/>
      <c r="RAM810" s="1"/>
      <c r="RAN810" s="1"/>
      <c r="RAO810" s="1"/>
      <c r="RAP810" s="1"/>
      <c r="RAQ810" s="1"/>
      <c r="RAR810" s="41"/>
      <c r="RAS810" s="1"/>
      <c r="RAT810" s="1"/>
      <c r="RAU810" s="1"/>
      <c r="RAV810" s="1">
        <v>100302.53</v>
      </c>
      <c r="RAW810" s="41">
        <f>13095.23+544.5+254739.02</f>
        <v>268378.75</v>
      </c>
      <c r="RAX810" s="1">
        <f t="shared" si="907"/>
        <v>168076.22</v>
      </c>
      <c r="RAY810" s="1">
        <f t="shared" si="908"/>
        <v>268378.75</v>
      </c>
      <c r="RAZ810" s="11">
        <v>15320</v>
      </c>
      <c r="RBA810" s="11">
        <v>60900</v>
      </c>
      <c r="RBB810" s="42" t="s">
        <v>937</v>
      </c>
      <c r="RBC810" s="7"/>
      <c r="RBD810" s="7"/>
      <c r="RBE810" s="7"/>
      <c r="RBF810" s="7"/>
      <c r="RBG810" s="7"/>
      <c r="RBH810" s="1"/>
      <c r="RBI810" s="1"/>
      <c r="RBJ810" s="1"/>
      <c r="RBK810" s="1"/>
      <c r="RBL810" s="7"/>
      <c r="RBM810" s="1"/>
      <c r="RBN810" s="1"/>
      <c r="RBO810" s="1"/>
      <c r="RBP810" s="1"/>
      <c r="RBQ810" s="1"/>
      <c r="RBR810" s="1"/>
      <c r="RBS810" s="1"/>
      <c r="RBT810" s="1"/>
      <c r="RBU810" s="1"/>
      <c r="RBV810" s="1"/>
      <c r="RBW810" s="1"/>
      <c r="RBX810" s="41"/>
      <c r="RBY810" s="1"/>
      <c r="RBZ810" s="1"/>
      <c r="RCA810" s="1"/>
      <c r="RCB810" s="1">
        <v>100302.53</v>
      </c>
      <c r="RCC810" s="41">
        <f>13095.23+544.5+254739.02</f>
        <v>268378.75</v>
      </c>
      <c r="RCD810" s="1">
        <f t="shared" ref="RCD810:RDJ810" si="909">RCC810-RCB810</f>
        <v>168076.22</v>
      </c>
      <c r="RCE810" s="1">
        <f t="shared" ref="RCE810:RDK810" si="910">RCB810+RCD810</f>
        <v>268378.75</v>
      </c>
      <c r="RCF810" s="11">
        <v>15320</v>
      </c>
      <c r="RCG810" s="11">
        <v>60900</v>
      </c>
      <c r="RCH810" s="42" t="s">
        <v>937</v>
      </c>
      <c r="RCI810" s="7"/>
      <c r="RCJ810" s="7"/>
      <c r="RCK810" s="7"/>
      <c r="RCL810" s="7"/>
      <c r="RCM810" s="7"/>
      <c r="RCN810" s="1"/>
      <c r="RCO810" s="1"/>
      <c r="RCP810" s="1"/>
      <c r="RCQ810" s="1"/>
      <c r="RCR810" s="7"/>
      <c r="RCS810" s="1"/>
      <c r="RCT810" s="1"/>
      <c r="RCU810" s="1"/>
      <c r="RCV810" s="1"/>
      <c r="RCW810" s="1"/>
      <c r="RCX810" s="1"/>
      <c r="RCY810" s="1"/>
      <c r="RCZ810" s="1"/>
      <c r="RDA810" s="1"/>
      <c r="RDB810" s="1"/>
      <c r="RDC810" s="1"/>
      <c r="RDD810" s="41"/>
      <c r="RDE810" s="1"/>
      <c r="RDF810" s="1"/>
      <c r="RDG810" s="1"/>
      <c r="RDH810" s="1">
        <v>100302.53</v>
      </c>
      <c r="RDI810" s="41">
        <f>13095.23+544.5+254739.02</f>
        <v>268378.75</v>
      </c>
      <c r="RDJ810" s="1">
        <f t="shared" si="909"/>
        <v>168076.22</v>
      </c>
      <c r="RDK810" s="1">
        <f t="shared" si="910"/>
        <v>268378.75</v>
      </c>
      <c r="RDL810" s="11">
        <v>15320</v>
      </c>
      <c r="RDM810" s="11">
        <v>60900</v>
      </c>
      <c r="RDN810" s="42" t="s">
        <v>937</v>
      </c>
      <c r="RDO810" s="7"/>
      <c r="RDP810" s="7"/>
      <c r="RDQ810" s="7"/>
      <c r="RDR810" s="7"/>
      <c r="RDS810" s="7"/>
      <c r="RDT810" s="1"/>
      <c r="RDU810" s="1"/>
      <c r="RDV810" s="1"/>
      <c r="RDW810" s="1"/>
      <c r="RDX810" s="7"/>
      <c r="RDY810" s="1"/>
      <c r="RDZ810" s="1"/>
      <c r="REA810" s="1"/>
      <c r="REB810" s="1"/>
      <c r="REC810" s="1"/>
      <c r="RED810" s="1"/>
      <c r="REE810" s="1"/>
      <c r="REF810" s="1"/>
      <c r="REG810" s="1"/>
      <c r="REH810" s="1"/>
      <c r="REI810" s="1"/>
      <c r="REJ810" s="41"/>
      <c r="REK810" s="1"/>
      <c r="REL810" s="1"/>
      <c r="REM810" s="1"/>
      <c r="REN810" s="1">
        <v>100302.53</v>
      </c>
      <c r="REO810" s="41">
        <f>13095.23+544.5+254739.02</f>
        <v>268378.75</v>
      </c>
      <c r="REP810" s="1">
        <f t="shared" ref="REP810:RFV810" si="911">REO810-REN810</f>
        <v>168076.22</v>
      </c>
      <c r="REQ810" s="1">
        <f t="shared" ref="REQ810:RFW810" si="912">REN810+REP810</f>
        <v>268378.75</v>
      </c>
      <c r="RER810" s="11">
        <v>15320</v>
      </c>
      <c r="RES810" s="11">
        <v>60900</v>
      </c>
      <c r="RET810" s="42" t="s">
        <v>937</v>
      </c>
      <c r="REU810" s="7"/>
      <c r="REV810" s="7"/>
      <c r="REW810" s="7"/>
      <c r="REX810" s="7"/>
      <c r="REY810" s="7"/>
      <c r="REZ810" s="1"/>
      <c r="RFA810" s="1"/>
      <c r="RFB810" s="1"/>
      <c r="RFC810" s="1"/>
      <c r="RFD810" s="7"/>
      <c r="RFE810" s="1"/>
      <c r="RFF810" s="1"/>
      <c r="RFG810" s="1"/>
      <c r="RFH810" s="1"/>
      <c r="RFI810" s="1"/>
      <c r="RFJ810" s="1"/>
      <c r="RFK810" s="1"/>
      <c r="RFL810" s="1"/>
      <c r="RFM810" s="1"/>
      <c r="RFN810" s="1"/>
      <c r="RFO810" s="1"/>
      <c r="RFP810" s="41"/>
      <c r="RFQ810" s="1"/>
      <c r="RFR810" s="1"/>
      <c r="RFS810" s="1"/>
      <c r="RFT810" s="1">
        <v>100302.53</v>
      </c>
      <c r="RFU810" s="41">
        <f>13095.23+544.5+254739.02</f>
        <v>268378.75</v>
      </c>
      <c r="RFV810" s="1">
        <f t="shared" si="911"/>
        <v>168076.22</v>
      </c>
      <c r="RFW810" s="1">
        <f t="shared" si="912"/>
        <v>268378.75</v>
      </c>
      <c r="RFX810" s="11">
        <v>15320</v>
      </c>
      <c r="RFY810" s="11">
        <v>60900</v>
      </c>
      <c r="RFZ810" s="42" t="s">
        <v>937</v>
      </c>
      <c r="RGA810" s="7"/>
      <c r="RGB810" s="7"/>
      <c r="RGC810" s="7"/>
      <c r="RGD810" s="7"/>
      <c r="RGE810" s="7"/>
      <c r="RGF810" s="1"/>
      <c r="RGG810" s="1"/>
      <c r="RGH810" s="1"/>
      <c r="RGI810" s="1"/>
      <c r="RGJ810" s="7"/>
      <c r="RGK810" s="1"/>
      <c r="RGL810" s="1"/>
      <c r="RGM810" s="1"/>
      <c r="RGN810" s="1"/>
      <c r="RGO810" s="1"/>
      <c r="RGP810" s="1"/>
      <c r="RGQ810" s="1"/>
      <c r="RGR810" s="1"/>
      <c r="RGS810" s="1"/>
      <c r="RGT810" s="1"/>
      <c r="RGU810" s="1"/>
      <c r="RGV810" s="41"/>
      <c r="RGW810" s="1"/>
      <c r="RGX810" s="1"/>
      <c r="RGY810" s="1"/>
      <c r="RGZ810" s="1">
        <v>100302.53</v>
      </c>
      <c r="RHA810" s="41">
        <f>13095.23+544.5+254739.02</f>
        <v>268378.75</v>
      </c>
      <c r="RHB810" s="1">
        <f t="shared" ref="RHB810:RIH810" si="913">RHA810-RGZ810</f>
        <v>168076.22</v>
      </c>
      <c r="RHC810" s="1">
        <f t="shared" ref="RHC810:RII810" si="914">RGZ810+RHB810</f>
        <v>268378.75</v>
      </c>
      <c r="RHD810" s="11">
        <v>15320</v>
      </c>
      <c r="RHE810" s="11">
        <v>60900</v>
      </c>
      <c r="RHF810" s="42" t="s">
        <v>937</v>
      </c>
      <c r="RHG810" s="7"/>
      <c r="RHH810" s="7"/>
      <c r="RHI810" s="7"/>
      <c r="RHJ810" s="7"/>
      <c r="RHK810" s="7"/>
      <c r="RHL810" s="1"/>
      <c r="RHM810" s="1"/>
      <c r="RHN810" s="1"/>
      <c r="RHO810" s="1"/>
      <c r="RHP810" s="7"/>
      <c r="RHQ810" s="1"/>
      <c r="RHR810" s="1"/>
      <c r="RHS810" s="1"/>
      <c r="RHT810" s="1"/>
      <c r="RHU810" s="1"/>
      <c r="RHV810" s="1"/>
      <c r="RHW810" s="1"/>
      <c r="RHX810" s="1"/>
      <c r="RHY810" s="1"/>
      <c r="RHZ810" s="1"/>
      <c r="RIA810" s="1"/>
      <c r="RIB810" s="41"/>
      <c r="RIC810" s="1"/>
      <c r="RID810" s="1"/>
      <c r="RIE810" s="1"/>
      <c r="RIF810" s="1">
        <v>100302.53</v>
      </c>
      <c r="RIG810" s="41">
        <f>13095.23+544.5+254739.02</f>
        <v>268378.75</v>
      </c>
      <c r="RIH810" s="1">
        <f t="shared" si="913"/>
        <v>168076.22</v>
      </c>
      <c r="RII810" s="1">
        <f t="shared" si="914"/>
        <v>268378.75</v>
      </c>
      <c r="RIJ810" s="11">
        <v>15320</v>
      </c>
      <c r="RIK810" s="11">
        <v>60900</v>
      </c>
      <c r="RIL810" s="42" t="s">
        <v>937</v>
      </c>
      <c r="RIM810" s="7"/>
      <c r="RIN810" s="7"/>
      <c r="RIO810" s="7"/>
      <c r="RIP810" s="7"/>
      <c r="RIQ810" s="7"/>
      <c r="RIR810" s="1"/>
      <c r="RIS810" s="1"/>
      <c r="RIT810" s="1"/>
      <c r="RIU810" s="1"/>
      <c r="RIV810" s="7"/>
      <c r="RIW810" s="1"/>
      <c r="RIX810" s="1"/>
      <c r="RIY810" s="1"/>
      <c r="RIZ810" s="1"/>
      <c r="RJA810" s="1"/>
      <c r="RJB810" s="1"/>
      <c r="RJC810" s="1"/>
      <c r="RJD810" s="1"/>
      <c r="RJE810" s="1"/>
      <c r="RJF810" s="1"/>
      <c r="RJG810" s="1"/>
      <c r="RJH810" s="41"/>
      <c r="RJI810" s="1"/>
      <c r="RJJ810" s="1"/>
      <c r="RJK810" s="1"/>
      <c r="RJL810" s="1">
        <v>100302.53</v>
      </c>
      <c r="RJM810" s="41">
        <f>13095.23+544.5+254739.02</f>
        <v>268378.75</v>
      </c>
      <c r="RJN810" s="1">
        <f t="shared" ref="RJN810:RKT810" si="915">RJM810-RJL810</f>
        <v>168076.22</v>
      </c>
      <c r="RJO810" s="1">
        <f t="shared" ref="RJO810:RKU810" si="916">RJL810+RJN810</f>
        <v>268378.75</v>
      </c>
      <c r="RJP810" s="11">
        <v>15320</v>
      </c>
      <c r="RJQ810" s="11">
        <v>60900</v>
      </c>
      <c r="RJR810" s="42" t="s">
        <v>937</v>
      </c>
      <c r="RJS810" s="7"/>
      <c r="RJT810" s="7"/>
      <c r="RJU810" s="7"/>
      <c r="RJV810" s="7"/>
      <c r="RJW810" s="7"/>
      <c r="RJX810" s="1"/>
      <c r="RJY810" s="1"/>
      <c r="RJZ810" s="1"/>
      <c r="RKA810" s="1"/>
      <c r="RKB810" s="7"/>
      <c r="RKC810" s="1"/>
      <c r="RKD810" s="1"/>
      <c r="RKE810" s="1"/>
      <c r="RKF810" s="1"/>
      <c r="RKG810" s="1"/>
      <c r="RKH810" s="1"/>
      <c r="RKI810" s="1"/>
      <c r="RKJ810" s="1"/>
      <c r="RKK810" s="1"/>
      <c r="RKL810" s="1"/>
      <c r="RKM810" s="1"/>
      <c r="RKN810" s="41"/>
      <c r="RKO810" s="1"/>
      <c r="RKP810" s="1"/>
      <c r="RKQ810" s="1"/>
      <c r="RKR810" s="1">
        <v>100302.53</v>
      </c>
      <c r="RKS810" s="41">
        <f>13095.23+544.5+254739.02</f>
        <v>268378.75</v>
      </c>
      <c r="RKT810" s="1">
        <f t="shared" si="915"/>
        <v>168076.22</v>
      </c>
      <c r="RKU810" s="1">
        <f t="shared" si="916"/>
        <v>268378.75</v>
      </c>
      <c r="RKV810" s="11">
        <v>15320</v>
      </c>
      <c r="RKW810" s="11">
        <v>60900</v>
      </c>
      <c r="RKX810" s="42" t="s">
        <v>937</v>
      </c>
      <c r="RKY810" s="7"/>
      <c r="RKZ810" s="7"/>
      <c r="RLA810" s="7"/>
      <c r="RLB810" s="7"/>
      <c r="RLC810" s="7"/>
      <c r="RLD810" s="1"/>
      <c r="RLE810" s="1"/>
      <c r="RLF810" s="1"/>
      <c r="RLG810" s="1"/>
      <c r="RLH810" s="7"/>
      <c r="RLI810" s="1"/>
      <c r="RLJ810" s="1"/>
      <c r="RLK810" s="1"/>
      <c r="RLL810" s="1"/>
      <c r="RLM810" s="1"/>
      <c r="RLN810" s="1"/>
      <c r="RLO810" s="1"/>
      <c r="RLP810" s="1"/>
      <c r="RLQ810" s="1"/>
      <c r="RLR810" s="1"/>
      <c r="RLS810" s="1"/>
      <c r="RLT810" s="41"/>
      <c r="RLU810" s="1"/>
      <c r="RLV810" s="1"/>
      <c r="RLW810" s="1"/>
      <c r="RLX810" s="1">
        <v>100302.53</v>
      </c>
      <c r="RLY810" s="41">
        <f>13095.23+544.5+254739.02</f>
        <v>268378.75</v>
      </c>
      <c r="RLZ810" s="1">
        <f t="shared" ref="RLZ810:RNF810" si="917">RLY810-RLX810</f>
        <v>168076.22</v>
      </c>
      <c r="RMA810" s="1">
        <f t="shared" ref="RMA810:RNG810" si="918">RLX810+RLZ810</f>
        <v>268378.75</v>
      </c>
      <c r="RMB810" s="11">
        <v>15320</v>
      </c>
      <c r="RMC810" s="11">
        <v>60900</v>
      </c>
      <c r="RMD810" s="42" t="s">
        <v>937</v>
      </c>
      <c r="RME810" s="7"/>
      <c r="RMF810" s="7"/>
      <c r="RMG810" s="7"/>
      <c r="RMH810" s="7"/>
      <c r="RMI810" s="7"/>
      <c r="RMJ810" s="1"/>
      <c r="RMK810" s="1"/>
      <c r="RML810" s="1"/>
      <c r="RMM810" s="1"/>
      <c r="RMN810" s="7"/>
      <c r="RMO810" s="1"/>
      <c r="RMP810" s="1"/>
      <c r="RMQ810" s="1"/>
      <c r="RMR810" s="1"/>
      <c r="RMS810" s="1"/>
      <c r="RMT810" s="1"/>
      <c r="RMU810" s="1"/>
      <c r="RMV810" s="1"/>
      <c r="RMW810" s="1"/>
      <c r="RMX810" s="1"/>
      <c r="RMY810" s="1"/>
      <c r="RMZ810" s="41"/>
      <c r="RNA810" s="1"/>
      <c r="RNB810" s="1"/>
      <c r="RNC810" s="1"/>
      <c r="RND810" s="1">
        <v>100302.53</v>
      </c>
      <c r="RNE810" s="41">
        <f>13095.23+544.5+254739.02</f>
        <v>268378.75</v>
      </c>
      <c r="RNF810" s="1">
        <f t="shared" si="917"/>
        <v>168076.22</v>
      </c>
      <c r="RNG810" s="1">
        <f t="shared" si="918"/>
        <v>268378.75</v>
      </c>
      <c r="RNH810" s="11">
        <v>15320</v>
      </c>
      <c r="RNI810" s="11">
        <v>60900</v>
      </c>
      <c r="RNJ810" s="42" t="s">
        <v>937</v>
      </c>
      <c r="RNK810" s="7"/>
      <c r="RNL810" s="7"/>
      <c r="RNM810" s="7"/>
      <c r="RNN810" s="7"/>
      <c r="RNO810" s="7"/>
      <c r="RNP810" s="1"/>
      <c r="RNQ810" s="1"/>
      <c r="RNR810" s="1"/>
      <c r="RNS810" s="1"/>
      <c r="RNT810" s="7"/>
      <c r="RNU810" s="1"/>
      <c r="RNV810" s="1"/>
      <c r="RNW810" s="1"/>
      <c r="RNX810" s="1"/>
      <c r="RNY810" s="1"/>
      <c r="RNZ810" s="1"/>
      <c r="ROA810" s="1"/>
      <c r="ROB810" s="1"/>
      <c r="ROC810" s="1"/>
      <c r="ROD810" s="1"/>
      <c r="ROE810" s="1"/>
      <c r="ROF810" s="41"/>
      <c r="ROG810" s="1"/>
      <c r="ROH810" s="1"/>
      <c r="ROI810" s="1"/>
      <c r="ROJ810" s="1">
        <v>100302.53</v>
      </c>
      <c r="ROK810" s="41">
        <f>13095.23+544.5+254739.02</f>
        <v>268378.75</v>
      </c>
      <c r="ROL810" s="1">
        <f t="shared" ref="ROL810:RPR810" si="919">ROK810-ROJ810</f>
        <v>168076.22</v>
      </c>
      <c r="ROM810" s="1">
        <f t="shared" ref="ROM810:RPS810" si="920">ROJ810+ROL810</f>
        <v>268378.75</v>
      </c>
      <c r="RON810" s="11">
        <v>15320</v>
      </c>
      <c r="ROO810" s="11">
        <v>60900</v>
      </c>
      <c r="ROP810" s="42" t="s">
        <v>937</v>
      </c>
      <c r="ROQ810" s="7"/>
      <c r="ROR810" s="7"/>
      <c r="ROS810" s="7"/>
      <c r="ROT810" s="7"/>
      <c r="ROU810" s="7"/>
      <c r="ROV810" s="1"/>
      <c r="ROW810" s="1"/>
      <c r="ROX810" s="1"/>
      <c r="ROY810" s="1"/>
      <c r="ROZ810" s="7"/>
      <c r="RPA810" s="1"/>
      <c r="RPB810" s="1"/>
      <c r="RPC810" s="1"/>
      <c r="RPD810" s="1"/>
      <c r="RPE810" s="1"/>
      <c r="RPF810" s="1"/>
      <c r="RPG810" s="1"/>
      <c r="RPH810" s="1"/>
      <c r="RPI810" s="1"/>
      <c r="RPJ810" s="1"/>
      <c r="RPK810" s="1"/>
      <c r="RPL810" s="41"/>
      <c r="RPM810" s="1"/>
      <c r="RPN810" s="1"/>
      <c r="RPO810" s="1"/>
      <c r="RPP810" s="1">
        <v>100302.53</v>
      </c>
      <c r="RPQ810" s="41">
        <f>13095.23+544.5+254739.02</f>
        <v>268378.75</v>
      </c>
      <c r="RPR810" s="1">
        <f t="shared" si="919"/>
        <v>168076.22</v>
      </c>
      <c r="RPS810" s="1">
        <f t="shared" si="920"/>
        <v>268378.75</v>
      </c>
      <c r="RPT810" s="11">
        <v>15320</v>
      </c>
      <c r="RPU810" s="11">
        <v>60900</v>
      </c>
      <c r="RPV810" s="42" t="s">
        <v>937</v>
      </c>
      <c r="RPW810" s="7"/>
      <c r="RPX810" s="7"/>
      <c r="RPY810" s="7"/>
      <c r="RPZ810" s="7"/>
      <c r="RQA810" s="7"/>
      <c r="RQB810" s="1"/>
      <c r="RQC810" s="1"/>
      <c r="RQD810" s="1"/>
      <c r="RQE810" s="1"/>
      <c r="RQF810" s="7"/>
      <c r="RQG810" s="1"/>
      <c r="RQH810" s="1"/>
      <c r="RQI810" s="1"/>
      <c r="RQJ810" s="1"/>
      <c r="RQK810" s="1"/>
      <c r="RQL810" s="1"/>
      <c r="RQM810" s="1"/>
      <c r="RQN810" s="1"/>
      <c r="RQO810" s="1"/>
      <c r="RQP810" s="1"/>
      <c r="RQQ810" s="1"/>
      <c r="RQR810" s="41"/>
      <c r="RQS810" s="1"/>
      <c r="RQT810" s="1"/>
      <c r="RQU810" s="1"/>
      <c r="RQV810" s="1">
        <v>100302.53</v>
      </c>
      <c r="RQW810" s="41">
        <f>13095.23+544.5+254739.02</f>
        <v>268378.75</v>
      </c>
      <c r="RQX810" s="1">
        <f t="shared" ref="RQX810:RSD810" si="921">RQW810-RQV810</f>
        <v>168076.22</v>
      </c>
      <c r="RQY810" s="1">
        <f t="shared" ref="RQY810:RSE810" si="922">RQV810+RQX810</f>
        <v>268378.75</v>
      </c>
      <c r="RQZ810" s="11">
        <v>15320</v>
      </c>
      <c r="RRA810" s="11">
        <v>60900</v>
      </c>
      <c r="RRB810" s="42" t="s">
        <v>937</v>
      </c>
      <c r="RRC810" s="7"/>
      <c r="RRD810" s="7"/>
      <c r="RRE810" s="7"/>
      <c r="RRF810" s="7"/>
      <c r="RRG810" s="7"/>
      <c r="RRH810" s="1"/>
      <c r="RRI810" s="1"/>
      <c r="RRJ810" s="1"/>
      <c r="RRK810" s="1"/>
      <c r="RRL810" s="7"/>
      <c r="RRM810" s="1"/>
      <c r="RRN810" s="1"/>
      <c r="RRO810" s="1"/>
      <c r="RRP810" s="1"/>
      <c r="RRQ810" s="1"/>
      <c r="RRR810" s="1"/>
      <c r="RRS810" s="1"/>
      <c r="RRT810" s="1"/>
      <c r="RRU810" s="1"/>
      <c r="RRV810" s="1"/>
      <c r="RRW810" s="1"/>
      <c r="RRX810" s="41"/>
      <c r="RRY810" s="1"/>
      <c r="RRZ810" s="1"/>
      <c r="RSA810" s="1"/>
      <c r="RSB810" s="1">
        <v>100302.53</v>
      </c>
      <c r="RSC810" s="41">
        <f>13095.23+544.5+254739.02</f>
        <v>268378.75</v>
      </c>
      <c r="RSD810" s="1">
        <f t="shared" si="921"/>
        <v>168076.22</v>
      </c>
      <c r="RSE810" s="1">
        <f t="shared" si="922"/>
        <v>268378.75</v>
      </c>
      <c r="RSF810" s="11">
        <v>15320</v>
      </c>
      <c r="RSG810" s="11">
        <v>60900</v>
      </c>
      <c r="RSH810" s="42" t="s">
        <v>937</v>
      </c>
      <c r="RSI810" s="7"/>
      <c r="RSJ810" s="7"/>
      <c r="RSK810" s="7"/>
      <c r="RSL810" s="7"/>
      <c r="RSM810" s="7"/>
      <c r="RSN810" s="1"/>
      <c r="RSO810" s="1"/>
      <c r="RSP810" s="1"/>
      <c r="RSQ810" s="1"/>
      <c r="RSR810" s="7"/>
      <c r="RSS810" s="1"/>
      <c r="RST810" s="1"/>
      <c r="RSU810" s="1"/>
      <c r="RSV810" s="1"/>
      <c r="RSW810" s="1"/>
      <c r="RSX810" s="1"/>
      <c r="RSY810" s="1"/>
      <c r="RSZ810" s="1"/>
      <c r="RTA810" s="1"/>
      <c r="RTB810" s="1"/>
      <c r="RTC810" s="1"/>
      <c r="RTD810" s="41"/>
      <c r="RTE810" s="1"/>
      <c r="RTF810" s="1"/>
      <c r="RTG810" s="1"/>
      <c r="RTH810" s="1">
        <v>100302.53</v>
      </c>
      <c r="RTI810" s="41">
        <f>13095.23+544.5+254739.02</f>
        <v>268378.75</v>
      </c>
      <c r="RTJ810" s="1">
        <f t="shared" ref="RTJ810:RUP810" si="923">RTI810-RTH810</f>
        <v>168076.22</v>
      </c>
      <c r="RTK810" s="1">
        <f t="shared" ref="RTK810:RUQ810" si="924">RTH810+RTJ810</f>
        <v>268378.75</v>
      </c>
      <c r="RTL810" s="11">
        <v>15320</v>
      </c>
      <c r="RTM810" s="11">
        <v>60900</v>
      </c>
      <c r="RTN810" s="42" t="s">
        <v>937</v>
      </c>
      <c r="RTO810" s="7"/>
      <c r="RTP810" s="7"/>
      <c r="RTQ810" s="7"/>
      <c r="RTR810" s="7"/>
      <c r="RTS810" s="7"/>
      <c r="RTT810" s="1"/>
      <c r="RTU810" s="1"/>
      <c r="RTV810" s="1"/>
      <c r="RTW810" s="1"/>
      <c r="RTX810" s="7"/>
      <c r="RTY810" s="1"/>
      <c r="RTZ810" s="1"/>
      <c r="RUA810" s="1"/>
      <c r="RUB810" s="1"/>
      <c r="RUC810" s="1"/>
      <c r="RUD810" s="1"/>
      <c r="RUE810" s="1"/>
      <c r="RUF810" s="1"/>
      <c r="RUG810" s="1"/>
      <c r="RUH810" s="1"/>
      <c r="RUI810" s="1"/>
      <c r="RUJ810" s="41"/>
      <c r="RUK810" s="1"/>
      <c r="RUL810" s="1"/>
      <c r="RUM810" s="1"/>
      <c r="RUN810" s="1">
        <v>100302.53</v>
      </c>
      <c r="RUO810" s="41">
        <f>13095.23+544.5+254739.02</f>
        <v>268378.75</v>
      </c>
      <c r="RUP810" s="1">
        <f t="shared" si="923"/>
        <v>168076.22</v>
      </c>
      <c r="RUQ810" s="1">
        <f t="shared" si="924"/>
        <v>268378.75</v>
      </c>
      <c r="RUR810" s="11">
        <v>15320</v>
      </c>
      <c r="RUS810" s="11">
        <v>60900</v>
      </c>
      <c r="RUT810" s="42" t="s">
        <v>937</v>
      </c>
      <c r="RUU810" s="7"/>
      <c r="RUV810" s="7"/>
      <c r="RUW810" s="7"/>
      <c r="RUX810" s="7"/>
      <c r="RUY810" s="7"/>
      <c r="RUZ810" s="1"/>
      <c r="RVA810" s="1"/>
      <c r="RVB810" s="1"/>
      <c r="RVC810" s="1"/>
      <c r="RVD810" s="7"/>
      <c r="RVE810" s="1"/>
      <c r="RVF810" s="1"/>
      <c r="RVG810" s="1"/>
      <c r="RVH810" s="1"/>
      <c r="RVI810" s="1"/>
      <c r="RVJ810" s="1"/>
      <c r="RVK810" s="1"/>
      <c r="RVL810" s="1"/>
      <c r="RVM810" s="1"/>
      <c r="RVN810" s="1"/>
      <c r="RVO810" s="1"/>
      <c r="RVP810" s="41"/>
      <c r="RVQ810" s="1"/>
      <c r="RVR810" s="1"/>
      <c r="RVS810" s="1"/>
      <c r="RVT810" s="1">
        <v>100302.53</v>
      </c>
      <c r="RVU810" s="41">
        <f>13095.23+544.5+254739.02</f>
        <v>268378.75</v>
      </c>
      <c r="RVV810" s="1">
        <f t="shared" ref="RVV810:RXB810" si="925">RVU810-RVT810</f>
        <v>168076.22</v>
      </c>
      <c r="RVW810" s="1">
        <f t="shared" ref="RVW810:RXC810" si="926">RVT810+RVV810</f>
        <v>268378.75</v>
      </c>
      <c r="RVX810" s="11">
        <v>15320</v>
      </c>
      <c r="RVY810" s="11">
        <v>60900</v>
      </c>
      <c r="RVZ810" s="42" t="s">
        <v>937</v>
      </c>
      <c r="RWA810" s="7"/>
      <c r="RWB810" s="7"/>
      <c r="RWC810" s="7"/>
      <c r="RWD810" s="7"/>
      <c r="RWE810" s="7"/>
      <c r="RWF810" s="1"/>
      <c r="RWG810" s="1"/>
      <c r="RWH810" s="1"/>
      <c r="RWI810" s="1"/>
      <c r="RWJ810" s="7"/>
      <c r="RWK810" s="1"/>
      <c r="RWL810" s="1"/>
      <c r="RWM810" s="1"/>
      <c r="RWN810" s="1"/>
      <c r="RWO810" s="1"/>
      <c r="RWP810" s="1"/>
      <c r="RWQ810" s="1"/>
      <c r="RWR810" s="1"/>
      <c r="RWS810" s="1"/>
      <c r="RWT810" s="1"/>
      <c r="RWU810" s="1"/>
      <c r="RWV810" s="41"/>
      <c r="RWW810" s="1"/>
      <c r="RWX810" s="1"/>
      <c r="RWY810" s="1"/>
      <c r="RWZ810" s="1">
        <v>100302.53</v>
      </c>
      <c r="RXA810" s="41">
        <f>13095.23+544.5+254739.02</f>
        <v>268378.75</v>
      </c>
      <c r="RXB810" s="1">
        <f t="shared" si="925"/>
        <v>168076.22</v>
      </c>
      <c r="RXC810" s="1">
        <f t="shared" si="926"/>
        <v>268378.75</v>
      </c>
      <c r="RXD810" s="11">
        <v>15320</v>
      </c>
      <c r="RXE810" s="11">
        <v>60900</v>
      </c>
      <c r="RXF810" s="42" t="s">
        <v>937</v>
      </c>
      <c r="RXG810" s="7"/>
      <c r="RXH810" s="7"/>
      <c r="RXI810" s="7"/>
      <c r="RXJ810" s="7"/>
      <c r="RXK810" s="7"/>
      <c r="RXL810" s="1"/>
      <c r="RXM810" s="1"/>
      <c r="RXN810" s="1"/>
      <c r="RXO810" s="1"/>
      <c r="RXP810" s="7"/>
      <c r="RXQ810" s="1"/>
      <c r="RXR810" s="1"/>
      <c r="RXS810" s="1"/>
      <c r="RXT810" s="1"/>
      <c r="RXU810" s="1"/>
      <c r="RXV810" s="1"/>
      <c r="RXW810" s="1"/>
      <c r="RXX810" s="1"/>
      <c r="RXY810" s="1"/>
      <c r="RXZ810" s="1"/>
      <c r="RYA810" s="1"/>
      <c r="RYB810" s="41"/>
      <c r="RYC810" s="1"/>
      <c r="RYD810" s="1"/>
      <c r="RYE810" s="1"/>
      <c r="RYF810" s="1">
        <v>100302.53</v>
      </c>
      <c r="RYG810" s="41">
        <f>13095.23+544.5+254739.02</f>
        <v>268378.75</v>
      </c>
      <c r="RYH810" s="1">
        <f t="shared" ref="RYH810:RZN810" si="927">RYG810-RYF810</f>
        <v>168076.22</v>
      </c>
      <c r="RYI810" s="1">
        <f t="shared" ref="RYI810:RZO810" si="928">RYF810+RYH810</f>
        <v>268378.75</v>
      </c>
      <c r="RYJ810" s="11">
        <v>15320</v>
      </c>
      <c r="RYK810" s="11">
        <v>60900</v>
      </c>
      <c r="RYL810" s="42" t="s">
        <v>937</v>
      </c>
      <c r="RYM810" s="7"/>
      <c r="RYN810" s="7"/>
      <c r="RYO810" s="7"/>
      <c r="RYP810" s="7"/>
      <c r="RYQ810" s="7"/>
      <c r="RYR810" s="1"/>
      <c r="RYS810" s="1"/>
      <c r="RYT810" s="1"/>
      <c r="RYU810" s="1"/>
      <c r="RYV810" s="7"/>
      <c r="RYW810" s="1"/>
      <c r="RYX810" s="1"/>
      <c r="RYY810" s="1"/>
      <c r="RYZ810" s="1"/>
      <c r="RZA810" s="1"/>
      <c r="RZB810" s="1"/>
      <c r="RZC810" s="1"/>
      <c r="RZD810" s="1"/>
      <c r="RZE810" s="1"/>
      <c r="RZF810" s="1"/>
      <c r="RZG810" s="1"/>
      <c r="RZH810" s="41"/>
      <c r="RZI810" s="1"/>
      <c r="RZJ810" s="1"/>
      <c r="RZK810" s="1"/>
      <c r="RZL810" s="1">
        <v>100302.53</v>
      </c>
      <c r="RZM810" s="41">
        <f>13095.23+544.5+254739.02</f>
        <v>268378.75</v>
      </c>
      <c r="RZN810" s="1">
        <f t="shared" si="927"/>
        <v>168076.22</v>
      </c>
      <c r="RZO810" s="1">
        <f t="shared" si="928"/>
        <v>268378.75</v>
      </c>
      <c r="RZP810" s="11">
        <v>15320</v>
      </c>
      <c r="RZQ810" s="11">
        <v>60900</v>
      </c>
      <c r="RZR810" s="42" t="s">
        <v>937</v>
      </c>
      <c r="RZS810" s="7"/>
      <c r="RZT810" s="7"/>
      <c r="RZU810" s="7"/>
      <c r="RZV810" s="7"/>
      <c r="RZW810" s="7"/>
      <c r="RZX810" s="1"/>
      <c r="RZY810" s="1"/>
      <c r="RZZ810" s="1"/>
      <c r="SAA810" s="1"/>
      <c r="SAB810" s="7"/>
      <c r="SAC810" s="1"/>
      <c r="SAD810" s="1"/>
      <c r="SAE810" s="1"/>
      <c r="SAF810" s="1"/>
      <c r="SAG810" s="1"/>
      <c r="SAH810" s="1"/>
      <c r="SAI810" s="1"/>
      <c r="SAJ810" s="1"/>
      <c r="SAK810" s="1"/>
      <c r="SAL810" s="1"/>
      <c r="SAM810" s="1"/>
      <c r="SAN810" s="41"/>
      <c r="SAO810" s="1"/>
      <c r="SAP810" s="1"/>
      <c r="SAQ810" s="1"/>
      <c r="SAR810" s="1">
        <v>100302.53</v>
      </c>
      <c r="SAS810" s="41">
        <f>13095.23+544.5+254739.02</f>
        <v>268378.75</v>
      </c>
      <c r="SAT810" s="1">
        <f t="shared" ref="SAT810:SBZ810" si="929">SAS810-SAR810</f>
        <v>168076.22</v>
      </c>
      <c r="SAU810" s="1">
        <f t="shared" ref="SAU810:SCA810" si="930">SAR810+SAT810</f>
        <v>268378.75</v>
      </c>
      <c r="SAV810" s="11">
        <v>15320</v>
      </c>
      <c r="SAW810" s="11">
        <v>60900</v>
      </c>
      <c r="SAX810" s="42" t="s">
        <v>937</v>
      </c>
      <c r="SAY810" s="7"/>
      <c r="SAZ810" s="7"/>
      <c r="SBA810" s="7"/>
      <c r="SBB810" s="7"/>
      <c r="SBC810" s="7"/>
      <c r="SBD810" s="1"/>
      <c r="SBE810" s="1"/>
      <c r="SBF810" s="1"/>
      <c r="SBG810" s="1"/>
      <c r="SBH810" s="7"/>
      <c r="SBI810" s="1"/>
      <c r="SBJ810" s="1"/>
      <c r="SBK810" s="1"/>
      <c r="SBL810" s="1"/>
      <c r="SBM810" s="1"/>
      <c r="SBN810" s="1"/>
      <c r="SBO810" s="1"/>
      <c r="SBP810" s="1"/>
      <c r="SBQ810" s="1"/>
      <c r="SBR810" s="1"/>
      <c r="SBS810" s="1"/>
      <c r="SBT810" s="41"/>
      <c r="SBU810" s="1"/>
      <c r="SBV810" s="1"/>
      <c r="SBW810" s="1"/>
      <c r="SBX810" s="1">
        <v>100302.53</v>
      </c>
      <c r="SBY810" s="41">
        <f>13095.23+544.5+254739.02</f>
        <v>268378.75</v>
      </c>
      <c r="SBZ810" s="1">
        <f t="shared" si="929"/>
        <v>168076.22</v>
      </c>
      <c r="SCA810" s="1">
        <f t="shared" si="930"/>
        <v>268378.75</v>
      </c>
      <c r="SCB810" s="11">
        <v>15320</v>
      </c>
      <c r="SCC810" s="11">
        <v>60900</v>
      </c>
      <c r="SCD810" s="42" t="s">
        <v>937</v>
      </c>
      <c r="SCE810" s="7"/>
      <c r="SCF810" s="7"/>
      <c r="SCG810" s="7"/>
      <c r="SCH810" s="7"/>
      <c r="SCI810" s="7"/>
      <c r="SCJ810" s="1"/>
      <c r="SCK810" s="1"/>
      <c r="SCL810" s="1"/>
      <c r="SCM810" s="1"/>
      <c r="SCN810" s="7"/>
      <c r="SCO810" s="1"/>
      <c r="SCP810" s="1"/>
      <c r="SCQ810" s="1"/>
      <c r="SCR810" s="1"/>
      <c r="SCS810" s="1"/>
      <c r="SCT810" s="1"/>
      <c r="SCU810" s="1"/>
      <c r="SCV810" s="1"/>
      <c r="SCW810" s="1"/>
      <c r="SCX810" s="1"/>
      <c r="SCY810" s="1"/>
      <c r="SCZ810" s="41"/>
      <c r="SDA810" s="1"/>
      <c r="SDB810" s="1"/>
      <c r="SDC810" s="1"/>
      <c r="SDD810" s="1">
        <v>100302.53</v>
      </c>
      <c r="SDE810" s="41">
        <f>13095.23+544.5+254739.02</f>
        <v>268378.75</v>
      </c>
      <c r="SDF810" s="1">
        <f t="shared" ref="SDF810:SEL810" si="931">SDE810-SDD810</f>
        <v>168076.22</v>
      </c>
      <c r="SDG810" s="1">
        <f t="shared" ref="SDG810:SEM810" si="932">SDD810+SDF810</f>
        <v>268378.75</v>
      </c>
      <c r="SDH810" s="11">
        <v>15320</v>
      </c>
      <c r="SDI810" s="11">
        <v>60900</v>
      </c>
      <c r="SDJ810" s="42" t="s">
        <v>937</v>
      </c>
      <c r="SDK810" s="7"/>
      <c r="SDL810" s="7"/>
      <c r="SDM810" s="7"/>
      <c r="SDN810" s="7"/>
      <c r="SDO810" s="7"/>
      <c r="SDP810" s="1"/>
      <c r="SDQ810" s="1"/>
      <c r="SDR810" s="1"/>
      <c r="SDS810" s="1"/>
      <c r="SDT810" s="7"/>
      <c r="SDU810" s="1"/>
      <c r="SDV810" s="1"/>
      <c r="SDW810" s="1"/>
      <c r="SDX810" s="1"/>
      <c r="SDY810" s="1"/>
      <c r="SDZ810" s="1"/>
      <c r="SEA810" s="1"/>
      <c r="SEB810" s="1"/>
      <c r="SEC810" s="1"/>
      <c r="SED810" s="1"/>
      <c r="SEE810" s="1"/>
      <c r="SEF810" s="41"/>
      <c r="SEG810" s="1"/>
      <c r="SEH810" s="1"/>
      <c r="SEI810" s="1"/>
      <c r="SEJ810" s="1">
        <v>100302.53</v>
      </c>
      <c r="SEK810" s="41">
        <f>13095.23+544.5+254739.02</f>
        <v>268378.75</v>
      </c>
      <c r="SEL810" s="1">
        <f t="shared" si="931"/>
        <v>168076.22</v>
      </c>
      <c r="SEM810" s="1">
        <f t="shared" si="932"/>
        <v>268378.75</v>
      </c>
      <c r="SEN810" s="11">
        <v>15320</v>
      </c>
      <c r="SEO810" s="11">
        <v>60900</v>
      </c>
      <c r="SEP810" s="42" t="s">
        <v>937</v>
      </c>
      <c r="SEQ810" s="7"/>
      <c r="SER810" s="7"/>
      <c r="SES810" s="7"/>
      <c r="SET810" s="7"/>
      <c r="SEU810" s="7"/>
      <c r="SEV810" s="1"/>
      <c r="SEW810" s="1"/>
      <c r="SEX810" s="1"/>
      <c r="SEY810" s="1"/>
      <c r="SEZ810" s="7"/>
      <c r="SFA810" s="1"/>
      <c r="SFB810" s="1"/>
      <c r="SFC810" s="1"/>
      <c r="SFD810" s="1"/>
      <c r="SFE810" s="1"/>
      <c r="SFF810" s="1"/>
      <c r="SFG810" s="1"/>
      <c r="SFH810" s="1"/>
      <c r="SFI810" s="1"/>
      <c r="SFJ810" s="1"/>
      <c r="SFK810" s="1"/>
      <c r="SFL810" s="41"/>
      <c r="SFM810" s="1"/>
      <c r="SFN810" s="1"/>
      <c r="SFO810" s="1"/>
      <c r="SFP810" s="1">
        <v>100302.53</v>
      </c>
      <c r="SFQ810" s="41">
        <f>13095.23+544.5+254739.02</f>
        <v>268378.75</v>
      </c>
      <c r="SFR810" s="1">
        <f t="shared" ref="SFR810:SGX810" si="933">SFQ810-SFP810</f>
        <v>168076.22</v>
      </c>
      <c r="SFS810" s="1">
        <f t="shared" ref="SFS810:SGY810" si="934">SFP810+SFR810</f>
        <v>268378.75</v>
      </c>
      <c r="SFT810" s="11">
        <v>15320</v>
      </c>
      <c r="SFU810" s="11">
        <v>60900</v>
      </c>
      <c r="SFV810" s="42" t="s">
        <v>937</v>
      </c>
      <c r="SFW810" s="7"/>
      <c r="SFX810" s="7"/>
      <c r="SFY810" s="7"/>
      <c r="SFZ810" s="7"/>
      <c r="SGA810" s="7"/>
      <c r="SGB810" s="1"/>
      <c r="SGC810" s="1"/>
      <c r="SGD810" s="1"/>
      <c r="SGE810" s="1"/>
      <c r="SGF810" s="7"/>
      <c r="SGG810" s="1"/>
      <c r="SGH810" s="1"/>
      <c r="SGI810" s="1"/>
      <c r="SGJ810" s="1"/>
      <c r="SGK810" s="1"/>
      <c r="SGL810" s="1"/>
      <c r="SGM810" s="1"/>
      <c r="SGN810" s="1"/>
      <c r="SGO810" s="1"/>
      <c r="SGP810" s="1"/>
      <c r="SGQ810" s="1"/>
      <c r="SGR810" s="41"/>
      <c r="SGS810" s="1"/>
      <c r="SGT810" s="1"/>
      <c r="SGU810" s="1"/>
      <c r="SGV810" s="1">
        <v>100302.53</v>
      </c>
      <c r="SGW810" s="41">
        <f>13095.23+544.5+254739.02</f>
        <v>268378.75</v>
      </c>
      <c r="SGX810" s="1">
        <f t="shared" si="933"/>
        <v>168076.22</v>
      </c>
      <c r="SGY810" s="1">
        <f t="shared" si="934"/>
        <v>268378.75</v>
      </c>
      <c r="SGZ810" s="11">
        <v>15320</v>
      </c>
      <c r="SHA810" s="11">
        <v>60900</v>
      </c>
      <c r="SHB810" s="42" t="s">
        <v>937</v>
      </c>
      <c r="SHC810" s="7"/>
      <c r="SHD810" s="7"/>
      <c r="SHE810" s="7"/>
      <c r="SHF810" s="7"/>
      <c r="SHG810" s="7"/>
      <c r="SHH810" s="1"/>
      <c r="SHI810" s="1"/>
      <c r="SHJ810" s="1"/>
      <c r="SHK810" s="1"/>
      <c r="SHL810" s="7"/>
      <c r="SHM810" s="1"/>
      <c r="SHN810" s="1"/>
      <c r="SHO810" s="1"/>
      <c r="SHP810" s="1"/>
      <c r="SHQ810" s="1"/>
      <c r="SHR810" s="1"/>
      <c r="SHS810" s="1"/>
      <c r="SHT810" s="1"/>
      <c r="SHU810" s="1"/>
      <c r="SHV810" s="1"/>
      <c r="SHW810" s="1"/>
      <c r="SHX810" s="41"/>
      <c r="SHY810" s="1"/>
      <c r="SHZ810" s="1"/>
      <c r="SIA810" s="1"/>
      <c r="SIB810" s="1">
        <v>100302.53</v>
      </c>
      <c r="SIC810" s="41">
        <f>13095.23+544.5+254739.02</f>
        <v>268378.75</v>
      </c>
      <c r="SID810" s="1">
        <f t="shared" ref="SID810:SJJ810" si="935">SIC810-SIB810</f>
        <v>168076.22</v>
      </c>
      <c r="SIE810" s="1">
        <f t="shared" ref="SIE810:SJK810" si="936">SIB810+SID810</f>
        <v>268378.75</v>
      </c>
      <c r="SIF810" s="11">
        <v>15320</v>
      </c>
      <c r="SIG810" s="11">
        <v>60900</v>
      </c>
      <c r="SIH810" s="42" t="s">
        <v>937</v>
      </c>
      <c r="SII810" s="7"/>
      <c r="SIJ810" s="7"/>
      <c r="SIK810" s="7"/>
      <c r="SIL810" s="7"/>
      <c r="SIM810" s="7"/>
      <c r="SIN810" s="1"/>
      <c r="SIO810" s="1"/>
      <c r="SIP810" s="1"/>
      <c r="SIQ810" s="1"/>
      <c r="SIR810" s="7"/>
      <c r="SIS810" s="1"/>
      <c r="SIT810" s="1"/>
      <c r="SIU810" s="1"/>
      <c r="SIV810" s="1"/>
      <c r="SIW810" s="1"/>
      <c r="SIX810" s="1"/>
      <c r="SIY810" s="1"/>
      <c r="SIZ810" s="1"/>
      <c r="SJA810" s="1"/>
      <c r="SJB810" s="1"/>
      <c r="SJC810" s="1"/>
      <c r="SJD810" s="41"/>
      <c r="SJE810" s="1"/>
      <c r="SJF810" s="1"/>
      <c r="SJG810" s="1"/>
      <c r="SJH810" s="1">
        <v>100302.53</v>
      </c>
      <c r="SJI810" s="41">
        <f>13095.23+544.5+254739.02</f>
        <v>268378.75</v>
      </c>
      <c r="SJJ810" s="1">
        <f t="shared" si="935"/>
        <v>168076.22</v>
      </c>
      <c r="SJK810" s="1">
        <f t="shared" si="936"/>
        <v>268378.75</v>
      </c>
      <c r="SJL810" s="11">
        <v>15320</v>
      </c>
      <c r="SJM810" s="11">
        <v>60900</v>
      </c>
      <c r="SJN810" s="42" t="s">
        <v>937</v>
      </c>
      <c r="SJO810" s="7"/>
      <c r="SJP810" s="7"/>
      <c r="SJQ810" s="7"/>
      <c r="SJR810" s="7"/>
      <c r="SJS810" s="7"/>
      <c r="SJT810" s="1"/>
      <c r="SJU810" s="1"/>
      <c r="SJV810" s="1"/>
      <c r="SJW810" s="1"/>
      <c r="SJX810" s="7"/>
      <c r="SJY810" s="1"/>
      <c r="SJZ810" s="1"/>
      <c r="SKA810" s="1"/>
      <c r="SKB810" s="1"/>
      <c r="SKC810" s="1"/>
      <c r="SKD810" s="1"/>
      <c r="SKE810" s="1"/>
      <c r="SKF810" s="1"/>
      <c r="SKG810" s="1"/>
      <c r="SKH810" s="1"/>
      <c r="SKI810" s="1"/>
      <c r="SKJ810" s="41"/>
      <c r="SKK810" s="1"/>
      <c r="SKL810" s="1"/>
      <c r="SKM810" s="1"/>
      <c r="SKN810" s="1">
        <v>100302.53</v>
      </c>
      <c r="SKO810" s="41">
        <f>13095.23+544.5+254739.02</f>
        <v>268378.75</v>
      </c>
      <c r="SKP810" s="1">
        <f t="shared" ref="SKP810:SLV810" si="937">SKO810-SKN810</f>
        <v>168076.22</v>
      </c>
      <c r="SKQ810" s="1">
        <f t="shared" ref="SKQ810:SLW810" si="938">SKN810+SKP810</f>
        <v>268378.75</v>
      </c>
      <c r="SKR810" s="11">
        <v>15320</v>
      </c>
      <c r="SKS810" s="11">
        <v>60900</v>
      </c>
      <c r="SKT810" s="42" t="s">
        <v>937</v>
      </c>
      <c r="SKU810" s="7"/>
      <c r="SKV810" s="7"/>
      <c r="SKW810" s="7"/>
      <c r="SKX810" s="7"/>
      <c r="SKY810" s="7"/>
      <c r="SKZ810" s="1"/>
      <c r="SLA810" s="1"/>
      <c r="SLB810" s="1"/>
      <c r="SLC810" s="1"/>
      <c r="SLD810" s="7"/>
      <c r="SLE810" s="1"/>
      <c r="SLF810" s="1"/>
      <c r="SLG810" s="1"/>
      <c r="SLH810" s="1"/>
      <c r="SLI810" s="1"/>
      <c r="SLJ810" s="1"/>
      <c r="SLK810" s="1"/>
      <c r="SLL810" s="1"/>
      <c r="SLM810" s="1"/>
      <c r="SLN810" s="1"/>
      <c r="SLO810" s="1"/>
      <c r="SLP810" s="41"/>
      <c r="SLQ810" s="1"/>
      <c r="SLR810" s="1"/>
      <c r="SLS810" s="1"/>
      <c r="SLT810" s="1">
        <v>100302.53</v>
      </c>
      <c r="SLU810" s="41">
        <f>13095.23+544.5+254739.02</f>
        <v>268378.75</v>
      </c>
      <c r="SLV810" s="1">
        <f t="shared" si="937"/>
        <v>168076.22</v>
      </c>
      <c r="SLW810" s="1">
        <f t="shared" si="938"/>
        <v>268378.75</v>
      </c>
      <c r="SLX810" s="11">
        <v>15320</v>
      </c>
      <c r="SLY810" s="11">
        <v>60900</v>
      </c>
      <c r="SLZ810" s="42" t="s">
        <v>937</v>
      </c>
      <c r="SMA810" s="7"/>
      <c r="SMB810" s="7"/>
      <c r="SMC810" s="7"/>
      <c r="SMD810" s="7"/>
      <c r="SME810" s="7"/>
      <c r="SMF810" s="1"/>
      <c r="SMG810" s="1"/>
      <c r="SMH810" s="1"/>
      <c r="SMI810" s="1"/>
      <c r="SMJ810" s="7"/>
      <c r="SMK810" s="1"/>
      <c r="SML810" s="1"/>
      <c r="SMM810" s="1"/>
      <c r="SMN810" s="1"/>
      <c r="SMO810" s="1"/>
      <c r="SMP810" s="1"/>
      <c r="SMQ810" s="1"/>
      <c r="SMR810" s="1"/>
      <c r="SMS810" s="1"/>
      <c r="SMT810" s="1"/>
      <c r="SMU810" s="1"/>
      <c r="SMV810" s="41"/>
      <c r="SMW810" s="1"/>
      <c r="SMX810" s="1"/>
      <c r="SMY810" s="1"/>
      <c r="SMZ810" s="1">
        <v>100302.53</v>
      </c>
      <c r="SNA810" s="41">
        <f>13095.23+544.5+254739.02</f>
        <v>268378.75</v>
      </c>
      <c r="SNB810" s="1">
        <f t="shared" ref="SNB810:SOH810" si="939">SNA810-SMZ810</f>
        <v>168076.22</v>
      </c>
      <c r="SNC810" s="1">
        <f t="shared" ref="SNC810:SOI810" si="940">SMZ810+SNB810</f>
        <v>268378.75</v>
      </c>
      <c r="SND810" s="11">
        <v>15320</v>
      </c>
      <c r="SNE810" s="11">
        <v>60900</v>
      </c>
      <c r="SNF810" s="42" t="s">
        <v>937</v>
      </c>
      <c r="SNG810" s="7"/>
      <c r="SNH810" s="7"/>
      <c r="SNI810" s="7"/>
      <c r="SNJ810" s="7"/>
      <c r="SNK810" s="7"/>
      <c r="SNL810" s="1"/>
      <c r="SNM810" s="1"/>
      <c r="SNN810" s="1"/>
      <c r="SNO810" s="1"/>
      <c r="SNP810" s="7"/>
      <c r="SNQ810" s="1"/>
      <c r="SNR810" s="1"/>
      <c r="SNS810" s="1"/>
      <c r="SNT810" s="1"/>
      <c r="SNU810" s="1"/>
      <c r="SNV810" s="1"/>
      <c r="SNW810" s="1"/>
      <c r="SNX810" s="1"/>
      <c r="SNY810" s="1"/>
      <c r="SNZ810" s="1"/>
      <c r="SOA810" s="1"/>
      <c r="SOB810" s="41"/>
      <c r="SOC810" s="1"/>
      <c r="SOD810" s="1"/>
      <c r="SOE810" s="1"/>
      <c r="SOF810" s="1">
        <v>100302.53</v>
      </c>
      <c r="SOG810" s="41">
        <f>13095.23+544.5+254739.02</f>
        <v>268378.75</v>
      </c>
      <c r="SOH810" s="1">
        <f t="shared" si="939"/>
        <v>168076.22</v>
      </c>
      <c r="SOI810" s="1">
        <f t="shared" si="940"/>
        <v>268378.75</v>
      </c>
      <c r="SOJ810" s="11">
        <v>15320</v>
      </c>
      <c r="SOK810" s="11">
        <v>60900</v>
      </c>
      <c r="SOL810" s="42" t="s">
        <v>937</v>
      </c>
      <c r="SOM810" s="7"/>
      <c r="SON810" s="7"/>
      <c r="SOO810" s="7"/>
      <c r="SOP810" s="7"/>
      <c r="SOQ810" s="7"/>
      <c r="SOR810" s="1"/>
      <c r="SOS810" s="1"/>
      <c r="SOT810" s="1"/>
      <c r="SOU810" s="1"/>
      <c r="SOV810" s="7"/>
      <c r="SOW810" s="1"/>
      <c r="SOX810" s="1"/>
      <c r="SOY810" s="1"/>
      <c r="SOZ810" s="1"/>
      <c r="SPA810" s="1"/>
      <c r="SPB810" s="1"/>
      <c r="SPC810" s="1"/>
      <c r="SPD810" s="1"/>
      <c r="SPE810" s="1"/>
      <c r="SPF810" s="1"/>
      <c r="SPG810" s="1"/>
      <c r="SPH810" s="41"/>
      <c r="SPI810" s="1"/>
      <c r="SPJ810" s="1"/>
      <c r="SPK810" s="1"/>
      <c r="SPL810" s="1">
        <v>100302.53</v>
      </c>
      <c r="SPM810" s="41">
        <f>13095.23+544.5+254739.02</f>
        <v>268378.75</v>
      </c>
      <c r="SPN810" s="1">
        <f t="shared" ref="SPN810:SQT810" si="941">SPM810-SPL810</f>
        <v>168076.22</v>
      </c>
      <c r="SPO810" s="1">
        <f t="shared" ref="SPO810:SQU810" si="942">SPL810+SPN810</f>
        <v>268378.75</v>
      </c>
      <c r="SPP810" s="11">
        <v>15320</v>
      </c>
      <c r="SPQ810" s="11">
        <v>60900</v>
      </c>
      <c r="SPR810" s="42" t="s">
        <v>937</v>
      </c>
      <c r="SPS810" s="7"/>
      <c r="SPT810" s="7"/>
      <c r="SPU810" s="7"/>
      <c r="SPV810" s="7"/>
      <c r="SPW810" s="7"/>
      <c r="SPX810" s="1"/>
      <c r="SPY810" s="1"/>
      <c r="SPZ810" s="1"/>
      <c r="SQA810" s="1"/>
      <c r="SQB810" s="7"/>
      <c r="SQC810" s="1"/>
      <c r="SQD810" s="1"/>
      <c r="SQE810" s="1"/>
      <c r="SQF810" s="1"/>
      <c r="SQG810" s="1"/>
      <c r="SQH810" s="1"/>
      <c r="SQI810" s="1"/>
      <c r="SQJ810" s="1"/>
      <c r="SQK810" s="1"/>
      <c r="SQL810" s="1"/>
      <c r="SQM810" s="1"/>
      <c r="SQN810" s="41"/>
      <c r="SQO810" s="1"/>
      <c r="SQP810" s="1"/>
      <c r="SQQ810" s="1"/>
      <c r="SQR810" s="1">
        <v>100302.53</v>
      </c>
      <c r="SQS810" s="41">
        <f>13095.23+544.5+254739.02</f>
        <v>268378.75</v>
      </c>
      <c r="SQT810" s="1">
        <f t="shared" si="941"/>
        <v>168076.22</v>
      </c>
      <c r="SQU810" s="1">
        <f t="shared" si="942"/>
        <v>268378.75</v>
      </c>
      <c r="SQV810" s="11">
        <v>15320</v>
      </c>
      <c r="SQW810" s="11">
        <v>60900</v>
      </c>
      <c r="SQX810" s="42" t="s">
        <v>937</v>
      </c>
      <c r="SQY810" s="7"/>
      <c r="SQZ810" s="7"/>
      <c r="SRA810" s="7"/>
      <c r="SRB810" s="7"/>
      <c r="SRC810" s="7"/>
      <c r="SRD810" s="1"/>
      <c r="SRE810" s="1"/>
      <c r="SRF810" s="1"/>
      <c r="SRG810" s="1"/>
      <c r="SRH810" s="7"/>
      <c r="SRI810" s="1"/>
      <c r="SRJ810" s="1"/>
      <c r="SRK810" s="1"/>
      <c r="SRL810" s="1"/>
      <c r="SRM810" s="1"/>
      <c r="SRN810" s="1"/>
      <c r="SRO810" s="1"/>
      <c r="SRP810" s="1"/>
      <c r="SRQ810" s="1"/>
      <c r="SRR810" s="1"/>
      <c r="SRS810" s="1"/>
      <c r="SRT810" s="41"/>
      <c r="SRU810" s="1"/>
      <c r="SRV810" s="1"/>
      <c r="SRW810" s="1"/>
      <c r="SRX810" s="1">
        <v>100302.53</v>
      </c>
      <c r="SRY810" s="41">
        <f>13095.23+544.5+254739.02</f>
        <v>268378.75</v>
      </c>
      <c r="SRZ810" s="1">
        <f t="shared" ref="SRZ810:STF810" si="943">SRY810-SRX810</f>
        <v>168076.22</v>
      </c>
      <c r="SSA810" s="1">
        <f t="shared" ref="SSA810:STG810" si="944">SRX810+SRZ810</f>
        <v>268378.75</v>
      </c>
      <c r="SSB810" s="11">
        <v>15320</v>
      </c>
      <c r="SSC810" s="11">
        <v>60900</v>
      </c>
      <c r="SSD810" s="42" t="s">
        <v>937</v>
      </c>
      <c r="SSE810" s="7"/>
      <c r="SSF810" s="7"/>
      <c r="SSG810" s="7"/>
      <c r="SSH810" s="7"/>
      <c r="SSI810" s="7"/>
      <c r="SSJ810" s="1"/>
      <c r="SSK810" s="1"/>
      <c r="SSL810" s="1"/>
      <c r="SSM810" s="1"/>
      <c r="SSN810" s="7"/>
      <c r="SSO810" s="1"/>
      <c r="SSP810" s="1"/>
      <c r="SSQ810" s="1"/>
      <c r="SSR810" s="1"/>
      <c r="SSS810" s="1"/>
      <c r="SST810" s="1"/>
      <c r="SSU810" s="1"/>
      <c r="SSV810" s="1"/>
      <c r="SSW810" s="1"/>
      <c r="SSX810" s="1"/>
      <c r="SSY810" s="1"/>
      <c r="SSZ810" s="41"/>
      <c r="STA810" s="1"/>
      <c r="STB810" s="1"/>
      <c r="STC810" s="1"/>
      <c r="STD810" s="1">
        <v>100302.53</v>
      </c>
      <c r="STE810" s="41">
        <f>13095.23+544.5+254739.02</f>
        <v>268378.75</v>
      </c>
      <c r="STF810" s="1">
        <f t="shared" si="943"/>
        <v>168076.22</v>
      </c>
      <c r="STG810" s="1">
        <f t="shared" si="944"/>
        <v>268378.75</v>
      </c>
      <c r="STH810" s="11">
        <v>15320</v>
      </c>
      <c r="STI810" s="11">
        <v>60900</v>
      </c>
      <c r="STJ810" s="42" t="s">
        <v>937</v>
      </c>
      <c r="STK810" s="7"/>
      <c r="STL810" s="7"/>
      <c r="STM810" s="7"/>
      <c r="STN810" s="7"/>
      <c r="STO810" s="7"/>
      <c r="STP810" s="1"/>
      <c r="STQ810" s="1"/>
      <c r="STR810" s="1"/>
      <c r="STS810" s="1"/>
      <c r="STT810" s="7"/>
      <c r="STU810" s="1"/>
      <c r="STV810" s="1"/>
      <c r="STW810" s="1"/>
      <c r="STX810" s="1"/>
      <c r="STY810" s="1"/>
      <c r="STZ810" s="1"/>
      <c r="SUA810" s="1"/>
      <c r="SUB810" s="1"/>
      <c r="SUC810" s="1"/>
      <c r="SUD810" s="1"/>
      <c r="SUE810" s="1"/>
      <c r="SUF810" s="41"/>
      <c r="SUG810" s="1"/>
      <c r="SUH810" s="1"/>
      <c r="SUI810" s="1"/>
      <c r="SUJ810" s="1">
        <v>100302.53</v>
      </c>
      <c r="SUK810" s="41">
        <f>13095.23+544.5+254739.02</f>
        <v>268378.75</v>
      </c>
      <c r="SUL810" s="1">
        <f t="shared" ref="SUL810:SVR810" si="945">SUK810-SUJ810</f>
        <v>168076.22</v>
      </c>
      <c r="SUM810" s="1">
        <f t="shared" ref="SUM810:SVS810" si="946">SUJ810+SUL810</f>
        <v>268378.75</v>
      </c>
      <c r="SUN810" s="11">
        <v>15320</v>
      </c>
      <c r="SUO810" s="11">
        <v>60900</v>
      </c>
      <c r="SUP810" s="42" t="s">
        <v>937</v>
      </c>
      <c r="SUQ810" s="7"/>
      <c r="SUR810" s="7"/>
      <c r="SUS810" s="7"/>
      <c r="SUT810" s="7"/>
      <c r="SUU810" s="7"/>
      <c r="SUV810" s="1"/>
      <c r="SUW810" s="1"/>
      <c r="SUX810" s="1"/>
      <c r="SUY810" s="1"/>
      <c r="SUZ810" s="7"/>
      <c r="SVA810" s="1"/>
      <c r="SVB810" s="1"/>
      <c r="SVC810" s="1"/>
      <c r="SVD810" s="1"/>
      <c r="SVE810" s="1"/>
      <c r="SVF810" s="1"/>
      <c r="SVG810" s="1"/>
      <c r="SVH810" s="1"/>
      <c r="SVI810" s="1"/>
      <c r="SVJ810" s="1"/>
      <c r="SVK810" s="1"/>
      <c r="SVL810" s="41"/>
      <c r="SVM810" s="1"/>
      <c r="SVN810" s="1"/>
      <c r="SVO810" s="1"/>
      <c r="SVP810" s="1">
        <v>100302.53</v>
      </c>
      <c r="SVQ810" s="41">
        <f>13095.23+544.5+254739.02</f>
        <v>268378.75</v>
      </c>
      <c r="SVR810" s="1">
        <f t="shared" si="945"/>
        <v>168076.22</v>
      </c>
      <c r="SVS810" s="1">
        <f t="shared" si="946"/>
        <v>268378.75</v>
      </c>
      <c r="SVT810" s="11">
        <v>15320</v>
      </c>
      <c r="SVU810" s="11">
        <v>60900</v>
      </c>
      <c r="SVV810" s="42" t="s">
        <v>937</v>
      </c>
      <c r="SVW810" s="7"/>
      <c r="SVX810" s="7"/>
      <c r="SVY810" s="7"/>
      <c r="SVZ810" s="7"/>
      <c r="SWA810" s="7"/>
      <c r="SWB810" s="1"/>
      <c r="SWC810" s="1"/>
      <c r="SWD810" s="1"/>
      <c r="SWE810" s="1"/>
      <c r="SWF810" s="7"/>
      <c r="SWG810" s="1"/>
      <c r="SWH810" s="1"/>
      <c r="SWI810" s="1"/>
      <c r="SWJ810" s="1"/>
      <c r="SWK810" s="1"/>
      <c r="SWL810" s="1"/>
      <c r="SWM810" s="1"/>
      <c r="SWN810" s="1"/>
      <c r="SWO810" s="1"/>
      <c r="SWP810" s="1"/>
      <c r="SWQ810" s="1"/>
      <c r="SWR810" s="41"/>
      <c r="SWS810" s="1"/>
      <c r="SWT810" s="1"/>
      <c r="SWU810" s="1"/>
      <c r="SWV810" s="1">
        <v>100302.53</v>
      </c>
      <c r="SWW810" s="41">
        <f>13095.23+544.5+254739.02</f>
        <v>268378.75</v>
      </c>
      <c r="SWX810" s="1">
        <f t="shared" ref="SWX810:SYD810" si="947">SWW810-SWV810</f>
        <v>168076.22</v>
      </c>
      <c r="SWY810" s="1">
        <f t="shared" ref="SWY810:SYE810" si="948">SWV810+SWX810</f>
        <v>268378.75</v>
      </c>
      <c r="SWZ810" s="11">
        <v>15320</v>
      </c>
      <c r="SXA810" s="11">
        <v>60900</v>
      </c>
      <c r="SXB810" s="42" t="s">
        <v>937</v>
      </c>
      <c r="SXC810" s="7"/>
      <c r="SXD810" s="7"/>
      <c r="SXE810" s="7"/>
      <c r="SXF810" s="7"/>
      <c r="SXG810" s="7"/>
      <c r="SXH810" s="1"/>
      <c r="SXI810" s="1"/>
      <c r="SXJ810" s="1"/>
      <c r="SXK810" s="1"/>
      <c r="SXL810" s="7"/>
      <c r="SXM810" s="1"/>
      <c r="SXN810" s="1"/>
      <c r="SXO810" s="1"/>
      <c r="SXP810" s="1"/>
      <c r="SXQ810" s="1"/>
      <c r="SXR810" s="1"/>
      <c r="SXS810" s="1"/>
      <c r="SXT810" s="1"/>
      <c r="SXU810" s="1"/>
      <c r="SXV810" s="1"/>
      <c r="SXW810" s="1"/>
      <c r="SXX810" s="41"/>
      <c r="SXY810" s="1"/>
      <c r="SXZ810" s="1"/>
      <c r="SYA810" s="1"/>
      <c r="SYB810" s="1">
        <v>100302.53</v>
      </c>
      <c r="SYC810" s="41">
        <f>13095.23+544.5+254739.02</f>
        <v>268378.75</v>
      </c>
      <c r="SYD810" s="1">
        <f t="shared" si="947"/>
        <v>168076.22</v>
      </c>
      <c r="SYE810" s="1">
        <f t="shared" si="948"/>
        <v>268378.75</v>
      </c>
      <c r="SYF810" s="11">
        <v>15320</v>
      </c>
      <c r="SYG810" s="11">
        <v>60900</v>
      </c>
      <c r="SYH810" s="42" t="s">
        <v>937</v>
      </c>
      <c r="SYI810" s="7"/>
      <c r="SYJ810" s="7"/>
      <c r="SYK810" s="7"/>
      <c r="SYL810" s="7"/>
      <c r="SYM810" s="7"/>
      <c r="SYN810" s="1"/>
      <c r="SYO810" s="1"/>
      <c r="SYP810" s="1"/>
      <c r="SYQ810" s="1"/>
      <c r="SYR810" s="7"/>
      <c r="SYS810" s="1"/>
      <c r="SYT810" s="1"/>
      <c r="SYU810" s="1"/>
      <c r="SYV810" s="1"/>
      <c r="SYW810" s="1"/>
      <c r="SYX810" s="1"/>
      <c r="SYY810" s="1"/>
      <c r="SYZ810" s="1"/>
      <c r="SZA810" s="1"/>
      <c r="SZB810" s="1"/>
      <c r="SZC810" s="1"/>
      <c r="SZD810" s="41"/>
      <c r="SZE810" s="1"/>
      <c r="SZF810" s="1"/>
      <c r="SZG810" s="1"/>
      <c r="SZH810" s="1">
        <v>100302.53</v>
      </c>
      <c r="SZI810" s="41">
        <f>13095.23+544.5+254739.02</f>
        <v>268378.75</v>
      </c>
      <c r="SZJ810" s="1">
        <f t="shared" ref="SZJ810:TAP810" si="949">SZI810-SZH810</f>
        <v>168076.22</v>
      </c>
      <c r="SZK810" s="1">
        <f t="shared" ref="SZK810:TAQ810" si="950">SZH810+SZJ810</f>
        <v>268378.75</v>
      </c>
      <c r="SZL810" s="11">
        <v>15320</v>
      </c>
      <c r="SZM810" s="11">
        <v>60900</v>
      </c>
      <c r="SZN810" s="42" t="s">
        <v>937</v>
      </c>
      <c r="SZO810" s="7"/>
      <c r="SZP810" s="7"/>
      <c r="SZQ810" s="7"/>
      <c r="SZR810" s="7"/>
      <c r="SZS810" s="7"/>
      <c r="SZT810" s="1"/>
      <c r="SZU810" s="1"/>
      <c r="SZV810" s="1"/>
      <c r="SZW810" s="1"/>
      <c r="SZX810" s="7"/>
      <c r="SZY810" s="1"/>
      <c r="SZZ810" s="1"/>
      <c r="TAA810" s="1"/>
      <c r="TAB810" s="1"/>
      <c r="TAC810" s="1"/>
      <c r="TAD810" s="1"/>
      <c r="TAE810" s="1"/>
      <c r="TAF810" s="1"/>
      <c r="TAG810" s="1"/>
      <c r="TAH810" s="1"/>
      <c r="TAI810" s="1"/>
      <c r="TAJ810" s="41"/>
      <c r="TAK810" s="1"/>
      <c r="TAL810" s="1"/>
      <c r="TAM810" s="1"/>
      <c r="TAN810" s="1">
        <v>100302.53</v>
      </c>
      <c r="TAO810" s="41">
        <f>13095.23+544.5+254739.02</f>
        <v>268378.75</v>
      </c>
      <c r="TAP810" s="1">
        <f t="shared" si="949"/>
        <v>168076.22</v>
      </c>
      <c r="TAQ810" s="1">
        <f t="shared" si="950"/>
        <v>268378.75</v>
      </c>
      <c r="TAR810" s="11">
        <v>15320</v>
      </c>
      <c r="TAS810" s="11">
        <v>60900</v>
      </c>
      <c r="TAT810" s="42" t="s">
        <v>937</v>
      </c>
      <c r="TAU810" s="7"/>
      <c r="TAV810" s="7"/>
      <c r="TAW810" s="7"/>
      <c r="TAX810" s="7"/>
      <c r="TAY810" s="7"/>
      <c r="TAZ810" s="1"/>
      <c r="TBA810" s="1"/>
      <c r="TBB810" s="1"/>
      <c r="TBC810" s="1"/>
      <c r="TBD810" s="7"/>
      <c r="TBE810" s="1"/>
      <c r="TBF810" s="1"/>
      <c r="TBG810" s="1"/>
      <c r="TBH810" s="1"/>
      <c r="TBI810" s="1"/>
      <c r="TBJ810" s="1"/>
      <c r="TBK810" s="1"/>
      <c r="TBL810" s="1"/>
      <c r="TBM810" s="1"/>
      <c r="TBN810" s="1"/>
      <c r="TBO810" s="1"/>
      <c r="TBP810" s="41"/>
      <c r="TBQ810" s="1"/>
      <c r="TBR810" s="1"/>
      <c r="TBS810" s="1"/>
      <c r="TBT810" s="1">
        <v>100302.53</v>
      </c>
      <c r="TBU810" s="41">
        <f>13095.23+544.5+254739.02</f>
        <v>268378.75</v>
      </c>
      <c r="TBV810" s="1">
        <f t="shared" ref="TBV810:TDB810" si="951">TBU810-TBT810</f>
        <v>168076.22</v>
      </c>
      <c r="TBW810" s="1">
        <f t="shared" ref="TBW810:TDC810" si="952">TBT810+TBV810</f>
        <v>268378.75</v>
      </c>
      <c r="TBX810" s="11">
        <v>15320</v>
      </c>
      <c r="TBY810" s="11">
        <v>60900</v>
      </c>
      <c r="TBZ810" s="42" t="s">
        <v>937</v>
      </c>
      <c r="TCA810" s="7"/>
      <c r="TCB810" s="7"/>
      <c r="TCC810" s="7"/>
      <c r="TCD810" s="7"/>
      <c r="TCE810" s="7"/>
      <c r="TCF810" s="1"/>
      <c r="TCG810" s="1"/>
      <c r="TCH810" s="1"/>
      <c r="TCI810" s="1"/>
      <c r="TCJ810" s="7"/>
      <c r="TCK810" s="1"/>
      <c r="TCL810" s="1"/>
      <c r="TCM810" s="1"/>
      <c r="TCN810" s="1"/>
      <c r="TCO810" s="1"/>
      <c r="TCP810" s="1"/>
      <c r="TCQ810" s="1"/>
      <c r="TCR810" s="1"/>
      <c r="TCS810" s="1"/>
      <c r="TCT810" s="1"/>
      <c r="TCU810" s="1"/>
      <c r="TCV810" s="41"/>
      <c r="TCW810" s="1"/>
      <c r="TCX810" s="1"/>
      <c r="TCY810" s="1"/>
      <c r="TCZ810" s="1">
        <v>100302.53</v>
      </c>
      <c r="TDA810" s="41">
        <f>13095.23+544.5+254739.02</f>
        <v>268378.75</v>
      </c>
      <c r="TDB810" s="1">
        <f t="shared" si="951"/>
        <v>168076.22</v>
      </c>
      <c r="TDC810" s="1">
        <f t="shared" si="952"/>
        <v>268378.75</v>
      </c>
      <c r="TDD810" s="11">
        <v>15320</v>
      </c>
      <c r="TDE810" s="11">
        <v>60900</v>
      </c>
      <c r="TDF810" s="42" t="s">
        <v>937</v>
      </c>
      <c r="TDG810" s="7"/>
      <c r="TDH810" s="7"/>
      <c r="TDI810" s="7"/>
      <c r="TDJ810" s="7"/>
      <c r="TDK810" s="7"/>
      <c r="TDL810" s="1"/>
      <c r="TDM810" s="1"/>
      <c r="TDN810" s="1"/>
      <c r="TDO810" s="1"/>
      <c r="TDP810" s="7"/>
      <c r="TDQ810" s="1"/>
      <c r="TDR810" s="1"/>
      <c r="TDS810" s="1"/>
      <c r="TDT810" s="1"/>
      <c r="TDU810" s="1"/>
      <c r="TDV810" s="1"/>
      <c r="TDW810" s="1"/>
      <c r="TDX810" s="1"/>
      <c r="TDY810" s="1"/>
      <c r="TDZ810" s="1"/>
      <c r="TEA810" s="1"/>
      <c r="TEB810" s="41"/>
      <c r="TEC810" s="1"/>
      <c r="TED810" s="1"/>
      <c r="TEE810" s="1"/>
      <c r="TEF810" s="1">
        <v>100302.53</v>
      </c>
      <c r="TEG810" s="41">
        <f>13095.23+544.5+254739.02</f>
        <v>268378.75</v>
      </c>
      <c r="TEH810" s="1">
        <f t="shared" ref="TEH810:TFN810" si="953">TEG810-TEF810</f>
        <v>168076.22</v>
      </c>
      <c r="TEI810" s="1">
        <f t="shared" ref="TEI810:TFO810" si="954">TEF810+TEH810</f>
        <v>268378.75</v>
      </c>
      <c r="TEJ810" s="11">
        <v>15320</v>
      </c>
      <c r="TEK810" s="11">
        <v>60900</v>
      </c>
      <c r="TEL810" s="42" t="s">
        <v>937</v>
      </c>
      <c r="TEM810" s="7"/>
      <c r="TEN810" s="7"/>
      <c r="TEO810" s="7"/>
      <c r="TEP810" s="7"/>
      <c r="TEQ810" s="7"/>
      <c r="TER810" s="1"/>
      <c r="TES810" s="1"/>
      <c r="TET810" s="1"/>
      <c r="TEU810" s="1"/>
      <c r="TEV810" s="7"/>
      <c r="TEW810" s="1"/>
      <c r="TEX810" s="1"/>
      <c r="TEY810" s="1"/>
      <c r="TEZ810" s="1"/>
      <c r="TFA810" s="1"/>
      <c r="TFB810" s="1"/>
      <c r="TFC810" s="1"/>
      <c r="TFD810" s="1"/>
      <c r="TFE810" s="1"/>
      <c r="TFF810" s="1"/>
      <c r="TFG810" s="1"/>
      <c r="TFH810" s="41"/>
      <c r="TFI810" s="1"/>
      <c r="TFJ810" s="1"/>
      <c r="TFK810" s="1"/>
      <c r="TFL810" s="1">
        <v>100302.53</v>
      </c>
      <c r="TFM810" s="41">
        <f>13095.23+544.5+254739.02</f>
        <v>268378.75</v>
      </c>
      <c r="TFN810" s="1">
        <f t="shared" si="953"/>
        <v>168076.22</v>
      </c>
      <c r="TFO810" s="1">
        <f t="shared" si="954"/>
        <v>268378.75</v>
      </c>
      <c r="TFP810" s="11">
        <v>15320</v>
      </c>
      <c r="TFQ810" s="11">
        <v>60900</v>
      </c>
      <c r="TFR810" s="42" t="s">
        <v>937</v>
      </c>
      <c r="TFS810" s="7"/>
      <c r="TFT810" s="7"/>
      <c r="TFU810" s="7"/>
      <c r="TFV810" s="7"/>
      <c r="TFW810" s="7"/>
      <c r="TFX810" s="1"/>
      <c r="TFY810" s="1"/>
      <c r="TFZ810" s="1"/>
      <c r="TGA810" s="1"/>
      <c r="TGB810" s="7"/>
      <c r="TGC810" s="1"/>
      <c r="TGD810" s="1"/>
      <c r="TGE810" s="1"/>
      <c r="TGF810" s="1"/>
      <c r="TGG810" s="1"/>
      <c r="TGH810" s="1"/>
      <c r="TGI810" s="1"/>
      <c r="TGJ810" s="1"/>
      <c r="TGK810" s="1"/>
      <c r="TGL810" s="1"/>
      <c r="TGM810" s="1"/>
      <c r="TGN810" s="41"/>
      <c r="TGO810" s="1"/>
      <c r="TGP810" s="1"/>
      <c r="TGQ810" s="1"/>
      <c r="TGR810" s="1">
        <v>100302.53</v>
      </c>
      <c r="TGS810" s="41">
        <f>13095.23+544.5+254739.02</f>
        <v>268378.75</v>
      </c>
      <c r="TGT810" s="1">
        <f t="shared" ref="TGT810:THZ810" si="955">TGS810-TGR810</f>
        <v>168076.22</v>
      </c>
      <c r="TGU810" s="1">
        <f t="shared" ref="TGU810:TIA810" si="956">TGR810+TGT810</f>
        <v>268378.75</v>
      </c>
      <c r="TGV810" s="11">
        <v>15320</v>
      </c>
      <c r="TGW810" s="11">
        <v>60900</v>
      </c>
      <c r="TGX810" s="42" t="s">
        <v>937</v>
      </c>
      <c r="TGY810" s="7"/>
      <c r="TGZ810" s="7"/>
      <c r="THA810" s="7"/>
      <c r="THB810" s="7"/>
      <c r="THC810" s="7"/>
      <c r="THD810" s="1"/>
      <c r="THE810" s="1"/>
      <c r="THF810" s="1"/>
      <c r="THG810" s="1"/>
      <c r="THH810" s="7"/>
      <c r="THI810" s="1"/>
      <c r="THJ810" s="1"/>
      <c r="THK810" s="1"/>
      <c r="THL810" s="1"/>
      <c r="THM810" s="1"/>
      <c r="THN810" s="1"/>
      <c r="THO810" s="1"/>
      <c r="THP810" s="1"/>
      <c r="THQ810" s="1"/>
      <c r="THR810" s="1"/>
      <c r="THS810" s="1"/>
      <c r="THT810" s="41"/>
      <c r="THU810" s="1"/>
      <c r="THV810" s="1"/>
      <c r="THW810" s="1"/>
      <c r="THX810" s="1">
        <v>100302.53</v>
      </c>
      <c r="THY810" s="41">
        <f>13095.23+544.5+254739.02</f>
        <v>268378.75</v>
      </c>
      <c r="THZ810" s="1">
        <f t="shared" si="955"/>
        <v>168076.22</v>
      </c>
      <c r="TIA810" s="1">
        <f t="shared" si="956"/>
        <v>268378.75</v>
      </c>
      <c r="TIB810" s="11">
        <v>15320</v>
      </c>
      <c r="TIC810" s="11">
        <v>60900</v>
      </c>
      <c r="TID810" s="42" t="s">
        <v>937</v>
      </c>
      <c r="TIE810" s="7"/>
      <c r="TIF810" s="7"/>
      <c r="TIG810" s="7"/>
      <c r="TIH810" s="7"/>
      <c r="TII810" s="7"/>
      <c r="TIJ810" s="1"/>
      <c r="TIK810" s="1"/>
      <c r="TIL810" s="1"/>
      <c r="TIM810" s="1"/>
      <c r="TIN810" s="7"/>
      <c r="TIO810" s="1"/>
      <c r="TIP810" s="1"/>
      <c r="TIQ810" s="1"/>
      <c r="TIR810" s="1"/>
      <c r="TIS810" s="1"/>
      <c r="TIT810" s="1"/>
      <c r="TIU810" s="1"/>
      <c r="TIV810" s="1"/>
      <c r="TIW810" s="1"/>
      <c r="TIX810" s="1"/>
      <c r="TIY810" s="1"/>
      <c r="TIZ810" s="41"/>
      <c r="TJA810" s="1"/>
      <c r="TJB810" s="1"/>
      <c r="TJC810" s="1"/>
      <c r="TJD810" s="1">
        <v>100302.53</v>
      </c>
      <c r="TJE810" s="41">
        <f>13095.23+544.5+254739.02</f>
        <v>268378.75</v>
      </c>
      <c r="TJF810" s="1">
        <f t="shared" ref="TJF810:TKL810" si="957">TJE810-TJD810</f>
        <v>168076.22</v>
      </c>
      <c r="TJG810" s="1">
        <f t="shared" ref="TJG810:TKM810" si="958">TJD810+TJF810</f>
        <v>268378.75</v>
      </c>
      <c r="TJH810" s="11">
        <v>15320</v>
      </c>
      <c r="TJI810" s="11">
        <v>60900</v>
      </c>
      <c r="TJJ810" s="42" t="s">
        <v>937</v>
      </c>
      <c r="TJK810" s="7"/>
      <c r="TJL810" s="7"/>
      <c r="TJM810" s="7"/>
      <c r="TJN810" s="7"/>
      <c r="TJO810" s="7"/>
      <c r="TJP810" s="1"/>
      <c r="TJQ810" s="1"/>
      <c r="TJR810" s="1"/>
      <c r="TJS810" s="1"/>
      <c r="TJT810" s="7"/>
      <c r="TJU810" s="1"/>
      <c r="TJV810" s="1"/>
      <c r="TJW810" s="1"/>
      <c r="TJX810" s="1"/>
      <c r="TJY810" s="1"/>
      <c r="TJZ810" s="1"/>
      <c r="TKA810" s="1"/>
      <c r="TKB810" s="1"/>
      <c r="TKC810" s="1"/>
      <c r="TKD810" s="1"/>
      <c r="TKE810" s="1"/>
      <c r="TKF810" s="41"/>
      <c r="TKG810" s="1"/>
      <c r="TKH810" s="1"/>
      <c r="TKI810" s="1"/>
      <c r="TKJ810" s="1">
        <v>100302.53</v>
      </c>
      <c r="TKK810" s="41">
        <f>13095.23+544.5+254739.02</f>
        <v>268378.75</v>
      </c>
      <c r="TKL810" s="1">
        <f t="shared" si="957"/>
        <v>168076.22</v>
      </c>
      <c r="TKM810" s="1">
        <f t="shared" si="958"/>
        <v>268378.75</v>
      </c>
      <c r="TKN810" s="11">
        <v>15320</v>
      </c>
      <c r="TKO810" s="11">
        <v>60900</v>
      </c>
      <c r="TKP810" s="42" t="s">
        <v>937</v>
      </c>
      <c r="TKQ810" s="7"/>
      <c r="TKR810" s="7"/>
      <c r="TKS810" s="7"/>
      <c r="TKT810" s="7"/>
      <c r="TKU810" s="7"/>
      <c r="TKV810" s="1"/>
      <c r="TKW810" s="1"/>
      <c r="TKX810" s="1"/>
      <c r="TKY810" s="1"/>
      <c r="TKZ810" s="7"/>
      <c r="TLA810" s="1"/>
      <c r="TLB810" s="1"/>
      <c r="TLC810" s="1"/>
      <c r="TLD810" s="1"/>
      <c r="TLE810" s="1"/>
      <c r="TLF810" s="1"/>
      <c r="TLG810" s="1"/>
      <c r="TLH810" s="1"/>
      <c r="TLI810" s="1"/>
      <c r="TLJ810" s="1"/>
      <c r="TLK810" s="1"/>
      <c r="TLL810" s="41"/>
      <c r="TLM810" s="1"/>
      <c r="TLN810" s="1"/>
      <c r="TLO810" s="1"/>
      <c r="TLP810" s="1">
        <v>100302.53</v>
      </c>
      <c r="TLQ810" s="41">
        <f>13095.23+544.5+254739.02</f>
        <v>268378.75</v>
      </c>
      <c r="TLR810" s="1">
        <f t="shared" ref="TLR810:TMX810" si="959">TLQ810-TLP810</f>
        <v>168076.22</v>
      </c>
      <c r="TLS810" s="1">
        <f t="shared" ref="TLS810:TMY810" si="960">TLP810+TLR810</f>
        <v>268378.75</v>
      </c>
      <c r="TLT810" s="11">
        <v>15320</v>
      </c>
      <c r="TLU810" s="11">
        <v>60900</v>
      </c>
      <c r="TLV810" s="42" t="s">
        <v>937</v>
      </c>
      <c r="TLW810" s="7"/>
      <c r="TLX810" s="7"/>
      <c r="TLY810" s="7"/>
      <c r="TLZ810" s="7"/>
      <c r="TMA810" s="7"/>
      <c r="TMB810" s="1"/>
      <c r="TMC810" s="1"/>
      <c r="TMD810" s="1"/>
      <c r="TME810" s="1"/>
      <c r="TMF810" s="7"/>
      <c r="TMG810" s="1"/>
      <c r="TMH810" s="1"/>
      <c r="TMI810" s="1"/>
      <c r="TMJ810" s="1"/>
      <c r="TMK810" s="1"/>
      <c r="TML810" s="1"/>
      <c r="TMM810" s="1"/>
      <c r="TMN810" s="1"/>
      <c r="TMO810" s="1"/>
      <c r="TMP810" s="1"/>
      <c r="TMQ810" s="1"/>
      <c r="TMR810" s="41"/>
      <c r="TMS810" s="1"/>
      <c r="TMT810" s="1"/>
      <c r="TMU810" s="1"/>
      <c r="TMV810" s="1">
        <v>100302.53</v>
      </c>
      <c r="TMW810" s="41">
        <f>13095.23+544.5+254739.02</f>
        <v>268378.75</v>
      </c>
      <c r="TMX810" s="1">
        <f t="shared" si="959"/>
        <v>168076.22</v>
      </c>
      <c r="TMY810" s="1">
        <f t="shared" si="960"/>
        <v>268378.75</v>
      </c>
      <c r="TMZ810" s="11">
        <v>15320</v>
      </c>
      <c r="TNA810" s="11">
        <v>60900</v>
      </c>
      <c r="TNB810" s="42" t="s">
        <v>937</v>
      </c>
      <c r="TNC810" s="7"/>
      <c r="TND810" s="7"/>
      <c r="TNE810" s="7"/>
      <c r="TNF810" s="7"/>
      <c r="TNG810" s="7"/>
      <c r="TNH810" s="1"/>
      <c r="TNI810" s="1"/>
      <c r="TNJ810" s="1"/>
      <c r="TNK810" s="1"/>
      <c r="TNL810" s="7"/>
      <c r="TNM810" s="1"/>
      <c r="TNN810" s="1"/>
      <c r="TNO810" s="1"/>
      <c r="TNP810" s="1"/>
      <c r="TNQ810" s="1"/>
      <c r="TNR810" s="1"/>
      <c r="TNS810" s="1"/>
      <c r="TNT810" s="1"/>
      <c r="TNU810" s="1"/>
      <c r="TNV810" s="1"/>
      <c r="TNW810" s="1"/>
      <c r="TNX810" s="41"/>
      <c r="TNY810" s="1"/>
      <c r="TNZ810" s="1"/>
      <c r="TOA810" s="1"/>
      <c r="TOB810" s="1">
        <v>100302.53</v>
      </c>
      <c r="TOC810" s="41">
        <f>13095.23+544.5+254739.02</f>
        <v>268378.75</v>
      </c>
      <c r="TOD810" s="1">
        <f t="shared" ref="TOD810:TPJ810" si="961">TOC810-TOB810</f>
        <v>168076.22</v>
      </c>
      <c r="TOE810" s="1">
        <f t="shared" ref="TOE810:TPK810" si="962">TOB810+TOD810</f>
        <v>268378.75</v>
      </c>
      <c r="TOF810" s="11">
        <v>15320</v>
      </c>
      <c r="TOG810" s="11">
        <v>60900</v>
      </c>
      <c r="TOH810" s="42" t="s">
        <v>937</v>
      </c>
      <c r="TOI810" s="7"/>
      <c r="TOJ810" s="7"/>
      <c r="TOK810" s="7"/>
      <c r="TOL810" s="7"/>
      <c r="TOM810" s="7"/>
      <c r="TON810" s="1"/>
      <c r="TOO810" s="1"/>
      <c r="TOP810" s="1"/>
      <c r="TOQ810" s="1"/>
      <c r="TOR810" s="7"/>
      <c r="TOS810" s="1"/>
      <c r="TOT810" s="1"/>
      <c r="TOU810" s="1"/>
      <c r="TOV810" s="1"/>
      <c r="TOW810" s="1"/>
      <c r="TOX810" s="1"/>
      <c r="TOY810" s="1"/>
      <c r="TOZ810" s="1"/>
      <c r="TPA810" s="1"/>
      <c r="TPB810" s="1"/>
      <c r="TPC810" s="1"/>
      <c r="TPD810" s="41"/>
      <c r="TPE810" s="1"/>
      <c r="TPF810" s="1"/>
      <c r="TPG810" s="1"/>
      <c r="TPH810" s="1">
        <v>100302.53</v>
      </c>
      <c r="TPI810" s="41">
        <f>13095.23+544.5+254739.02</f>
        <v>268378.75</v>
      </c>
      <c r="TPJ810" s="1">
        <f t="shared" si="961"/>
        <v>168076.22</v>
      </c>
      <c r="TPK810" s="1">
        <f t="shared" si="962"/>
        <v>268378.75</v>
      </c>
      <c r="TPL810" s="11">
        <v>15320</v>
      </c>
      <c r="TPM810" s="11">
        <v>60900</v>
      </c>
      <c r="TPN810" s="42" t="s">
        <v>937</v>
      </c>
      <c r="TPO810" s="7"/>
      <c r="TPP810" s="7"/>
      <c r="TPQ810" s="7"/>
      <c r="TPR810" s="7"/>
      <c r="TPS810" s="7"/>
      <c r="TPT810" s="1"/>
      <c r="TPU810" s="1"/>
      <c r="TPV810" s="1"/>
      <c r="TPW810" s="1"/>
      <c r="TPX810" s="7"/>
      <c r="TPY810" s="1"/>
      <c r="TPZ810" s="1"/>
      <c r="TQA810" s="1"/>
      <c r="TQB810" s="1"/>
      <c r="TQC810" s="1"/>
      <c r="TQD810" s="1"/>
      <c r="TQE810" s="1"/>
      <c r="TQF810" s="1"/>
      <c r="TQG810" s="1"/>
      <c r="TQH810" s="1"/>
      <c r="TQI810" s="1"/>
      <c r="TQJ810" s="41"/>
      <c r="TQK810" s="1"/>
      <c r="TQL810" s="1"/>
      <c r="TQM810" s="1"/>
      <c r="TQN810" s="1">
        <v>100302.53</v>
      </c>
      <c r="TQO810" s="41">
        <f>13095.23+544.5+254739.02</f>
        <v>268378.75</v>
      </c>
      <c r="TQP810" s="1">
        <f t="shared" ref="TQP810:TRV810" si="963">TQO810-TQN810</f>
        <v>168076.22</v>
      </c>
      <c r="TQQ810" s="1">
        <f t="shared" ref="TQQ810:TRW810" si="964">TQN810+TQP810</f>
        <v>268378.75</v>
      </c>
      <c r="TQR810" s="11">
        <v>15320</v>
      </c>
      <c r="TQS810" s="11">
        <v>60900</v>
      </c>
      <c r="TQT810" s="42" t="s">
        <v>937</v>
      </c>
      <c r="TQU810" s="7"/>
      <c r="TQV810" s="7"/>
      <c r="TQW810" s="7"/>
      <c r="TQX810" s="7"/>
      <c r="TQY810" s="7"/>
      <c r="TQZ810" s="1"/>
      <c r="TRA810" s="1"/>
      <c r="TRB810" s="1"/>
      <c r="TRC810" s="1"/>
      <c r="TRD810" s="7"/>
      <c r="TRE810" s="1"/>
      <c r="TRF810" s="1"/>
      <c r="TRG810" s="1"/>
      <c r="TRH810" s="1"/>
      <c r="TRI810" s="1"/>
      <c r="TRJ810" s="1"/>
      <c r="TRK810" s="1"/>
      <c r="TRL810" s="1"/>
      <c r="TRM810" s="1"/>
      <c r="TRN810" s="1"/>
      <c r="TRO810" s="1"/>
      <c r="TRP810" s="41"/>
      <c r="TRQ810" s="1"/>
      <c r="TRR810" s="1"/>
      <c r="TRS810" s="1"/>
      <c r="TRT810" s="1">
        <v>100302.53</v>
      </c>
      <c r="TRU810" s="41">
        <f>13095.23+544.5+254739.02</f>
        <v>268378.75</v>
      </c>
      <c r="TRV810" s="1">
        <f t="shared" si="963"/>
        <v>168076.22</v>
      </c>
      <c r="TRW810" s="1">
        <f t="shared" si="964"/>
        <v>268378.75</v>
      </c>
      <c r="TRX810" s="11">
        <v>15320</v>
      </c>
      <c r="TRY810" s="11">
        <v>60900</v>
      </c>
      <c r="TRZ810" s="42" t="s">
        <v>937</v>
      </c>
      <c r="TSA810" s="7"/>
      <c r="TSB810" s="7"/>
      <c r="TSC810" s="7"/>
      <c r="TSD810" s="7"/>
      <c r="TSE810" s="7"/>
      <c r="TSF810" s="1"/>
      <c r="TSG810" s="1"/>
      <c r="TSH810" s="1"/>
      <c r="TSI810" s="1"/>
      <c r="TSJ810" s="7"/>
      <c r="TSK810" s="1"/>
      <c r="TSL810" s="1"/>
      <c r="TSM810" s="1"/>
      <c r="TSN810" s="1"/>
      <c r="TSO810" s="1"/>
      <c r="TSP810" s="1"/>
      <c r="TSQ810" s="1"/>
      <c r="TSR810" s="1"/>
      <c r="TSS810" s="1"/>
      <c r="TST810" s="1"/>
      <c r="TSU810" s="1"/>
      <c r="TSV810" s="41"/>
      <c r="TSW810" s="1"/>
      <c r="TSX810" s="1"/>
      <c r="TSY810" s="1"/>
      <c r="TSZ810" s="1">
        <v>100302.53</v>
      </c>
      <c r="TTA810" s="41">
        <f>13095.23+544.5+254739.02</f>
        <v>268378.75</v>
      </c>
      <c r="TTB810" s="1">
        <f t="shared" ref="TTB810:TUH810" si="965">TTA810-TSZ810</f>
        <v>168076.22</v>
      </c>
      <c r="TTC810" s="1">
        <f t="shared" ref="TTC810:TUI810" si="966">TSZ810+TTB810</f>
        <v>268378.75</v>
      </c>
      <c r="TTD810" s="11">
        <v>15320</v>
      </c>
      <c r="TTE810" s="11">
        <v>60900</v>
      </c>
      <c r="TTF810" s="42" t="s">
        <v>937</v>
      </c>
      <c r="TTG810" s="7"/>
      <c r="TTH810" s="7"/>
      <c r="TTI810" s="7"/>
      <c r="TTJ810" s="7"/>
      <c r="TTK810" s="7"/>
      <c r="TTL810" s="1"/>
      <c r="TTM810" s="1"/>
      <c r="TTN810" s="1"/>
      <c r="TTO810" s="1"/>
      <c r="TTP810" s="7"/>
      <c r="TTQ810" s="1"/>
      <c r="TTR810" s="1"/>
      <c r="TTS810" s="1"/>
      <c r="TTT810" s="1"/>
      <c r="TTU810" s="1"/>
      <c r="TTV810" s="1"/>
      <c r="TTW810" s="1"/>
      <c r="TTX810" s="1"/>
      <c r="TTY810" s="1"/>
      <c r="TTZ810" s="1"/>
      <c r="TUA810" s="1"/>
      <c r="TUB810" s="41"/>
      <c r="TUC810" s="1"/>
      <c r="TUD810" s="1"/>
      <c r="TUE810" s="1"/>
      <c r="TUF810" s="1">
        <v>100302.53</v>
      </c>
      <c r="TUG810" s="41">
        <f>13095.23+544.5+254739.02</f>
        <v>268378.75</v>
      </c>
      <c r="TUH810" s="1">
        <f t="shared" si="965"/>
        <v>168076.22</v>
      </c>
      <c r="TUI810" s="1">
        <f t="shared" si="966"/>
        <v>268378.75</v>
      </c>
      <c r="TUJ810" s="11">
        <v>15320</v>
      </c>
      <c r="TUK810" s="11">
        <v>60900</v>
      </c>
      <c r="TUL810" s="42" t="s">
        <v>937</v>
      </c>
      <c r="TUM810" s="7"/>
      <c r="TUN810" s="7"/>
      <c r="TUO810" s="7"/>
      <c r="TUP810" s="7"/>
      <c r="TUQ810" s="7"/>
      <c r="TUR810" s="1"/>
      <c r="TUS810" s="1"/>
      <c r="TUT810" s="1"/>
      <c r="TUU810" s="1"/>
      <c r="TUV810" s="7"/>
      <c r="TUW810" s="1"/>
      <c r="TUX810" s="1"/>
      <c r="TUY810" s="1"/>
      <c r="TUZ810" s="1"/>
      <c r="TVA810" s="1"/>
      <c r="TVB810" s="1"/>
      <c r="TVC810" s="1"/>
      <c r="TVD810" s="1"/>
      <c r="TVE810" s="1"/>
      <c r="TVF810" s="1"/>
      <c r="TVG810" s="1"/>
      <c r="TVH810" s="41"/>
      <c r="TVI810" s="1"/>
      <c r="TVJ810" s="1"/>
      <c r="TVK810" s="1"/>
      <c r="TVL810" s="1">
        <v>100302.53</v>
      </c>
      <c r="TVM810" s="41">
        <f>13095.23+544.5+254739.02</f>
        <v>268378.75</v>
      </c>
      <c r="TVN810" s="1">
        <f t="shared" ref="TVN810:TWT810" si="967">TVM810-TVL810</f>
        <v>168076.22</v>
      </c>
      <c r="TVO810" s="1">
        <f t="shared" ref="TVO810:TWU810" si="968">TVL810+TVN810</f>
        <v>268378.75</v>
      </c>
      <c r="TVP810" s="11">
        <v>15320</v>
      </c>
      <c r="TVQ810" s="11">
        <v>60900</v>
      </c>
      <c r="TVR810" s="42" t="s">
        <v>937</v>
      </c>
      <c r="TVS810" s="7"/>
      <c r="TVT810" s="7"/>
      <c r="TVU810" s="7"/>
      <c r="TVV810" s="7"/>
      <c r="TVW810" s="7"/>
      <c r="TVX810" s="1"/>
      <c r="TVY810" s="1"/>
      <c r="TVZ810" s="1"/>
      <c r="TWA810" s="1"/>
      <c r="TWB810" s="7"/>
      <c r="TWC810" s="1"/>
      <c r="TWD810" s="1"/>
      <c r="TWE810" s="1"/>
      <c r="TWF810" s="1"/>
      <c r="TWG810" s="1"/>
      <c r="TWH810" s="1"/>
      <c r="TWI810" s="1"/>
      <c r="TWJ810" s="1"/>
      <c r="TWK810" s="1"/>
      <c r="TWL810" s="1"/>
      <c r="TWM810" s="1"/>
      <c r="TWN810" s="41"/>
      <c r="TWO810" s="1"/>
      <c r="TWP810" s="1"/>
      <c r="TWQ810" s="1"/>
      <c r="TWR810" s="1">
        <v>100302.53</v>
      </c>
      <c r="TWS810" s="41">
        <f>13095.23+544.5+254739.02</f>
        <v>268378.75</v>
      </c>
      <c r="TWT810" s="1">
        <f t="shared" si="967"/>
        <v>168076.22</v>
      </c>
      <c r="TWU810" s="1">
        <f t="shared" si="968"/>
        <v>268378.75</v>
      </c>
      <c r="TWV810" s="11">
        <v>15320</v>
      </c>
      <c r="TWW810" s="11">
        <v>60900</v>
      </c>
      <c r="TWX810" s="42" t="s">
        <v>937</v>
      </c>
      <c r="TWY810" s="7"/>
      <c r="TWZ810" s="7"/>
      <c r="TXA810" s="7"/>
      <c r="TXB810" s="7"/>
      <c r="TXC810" s="7"/>
      <c r="TXD810" s="1"/>
      <c r="TXE810" s="1"/>
      <c r="TXF810" s="1"/>
      <c r="TXG810" s="1"/>
      <c r="TXH810" s="7"/>
      <c r="TXI810" s="1"/>
      <c r="TXJ810" s="1"/>
      <c r="TXK810" s="1"/>
      <c r="TXL810" s="1"/>
      <c r="TXM810" s="1"/>
      <c r="TXN810" s="1"/>
      <c r="TXO810" s="1"/>
      <c r="TXP810" s="1"/>
      <c r="TXQ810" s="1"/>
      <c r="TXR810" s="1"/>
      <c r="TXS810" s="1"/>
      <c r="TXT810" s="41"/>
      <c r="TXU810" s="1"/>
      <c r="TXV810" s="1"/>
      <c r="TXW810" s="1"/>
      <c r="TXX810" s="1">
        <v>100302.53</v>
      </c>
      <c r="TXY810" s="41">
        <f>13095.23+544.5+254739.02</f>
        <v>268378.75</v>
      </c>
      <c r="TXZ810" s="1">
        <f t="shared" ref="TXZ810:TZF810" si="969">TXY810-TXX810</f>
        <v>168076.22</v>
      </c>
      <c r="TYA810" s="1">
        <f t="shared" ref="TYA810:TZG810" si="970">TXX810+TXZ810</f>
        <v>268378.75</v>
      </c>
      <c r="TYB810" s="11">
        <v>15320</v>
      </c>
      <c r="TYC810" s="11">
        <v>60900</v>
      </c>
      <c r="TYD810" s="42" t="s">
        <v>937</v>
      </c>
      <c r="TYE810" s="7"/>
      <c r="TYF810" s="7"/>
      <c r="TYG810" s="7"/>
      <c r="TYH810" s="7"/>
      <c r="TYI810" s="7"/>
      <c r="TYJ810" s="1"/>
      <c r="TYK810" s="1"/>
      <c r="TYL810" s="1"/>
      <c r="TYM810" s="1"/>
      <c r="TYN810" s="7"/>
      <c r="TYO810" s="1"/>
      <c r="TYP810" s="1"/>
      <c r="TYQ810" s="1"/>
      <c r="TYR810" s="1"/>
      <c r="TYS810" s="1"/>
      <c r="TYT810" s="1"/>
      <c r="TYU810" s="1"/>
      <c r="TYV810" s="1"/>
      <c r="TYW810" s="1"/>
      <c r="TYX810" s="1"/>
      <c r="TYY810" s="1"/>
      <c r="TYZ810" s="41"/>
      <c r="TZA810" s="1"/>
      <c r="TZB810" s="1"/>
      <c r="TZC810" s="1"/>
      <c r="TZD810" s="1">
        <v>100302.53</v>
      </c>
      <c r="TZE810" s="41">
        <f>13095.23+544.5+254739.02</f>
        <v>268378.75</v>
      </c>
      <c r="TZF810" s="1">
        <f t="shared" si="969"/>
        <v>168076.22</v>
      </c>
      <c r="TZG810" s="1">
        <f t="shared" si="970"/>
        <v>268378.75</v>
      </c>
      <c r="TZH810" s="11">
        <v>15320</v>
      </c>
      <c r="TZI810" s="11">
        <v>60900</v>
      </c>
      <c r="TZJ810" s="42" t="s">
        <v>937</v>
      </c>
      <c r="TZK810" s="7"/>
      <c r="TZL810" s="7"/>
      <c r="TZM810" s="7"/>
      <c r="TZN810" s="7"/>
      <c r="TZO810" s="7"/>
      <c r="TZP810" s="1"/>
      <c r="TZQ810" s="1"/>
      <c r="TZR810" s="1"/>
      <c r="TZS810" s="1"/>
      <c r="TZT810" s="7"/>
      <c r="TZU810" s="1"/>
      <c r="TZV810" s="1"/>
      <c r="TZW810" s="1"/>
      <c r="TZX810" s="1"/>
      <c r="TZY810" s="1"/>
      <c r="TZZ810" s="1"/>
      <c r="UAA810" s="1"/>
      <c r="UAB810" s="1"/>
      <c r="UAC810" s="1"/>
      <c r="UAD810" s="1"/>
      <c r="UAE810" s="1"/>
      <c r="UAF810" s="41"/>
      <c r="UAG810" s="1"/>
      <c r="UAH810" s="1"/>
      <c r="UAI810" s="1"/>
      <c r="UAJ810" s="1">
        <v>100302.53</v>
      </c>
      <c r="UAK810" s="41">
        <f>13095.23+544.5+254739.02</f>
        <v>268378.75</v>
      </c>
      <c r="UAL810" s="1">
        <f t="shared" ref="UAL810:UBR810" si="971">UAK810-UAJ810</f>
        <v>168076.22</v>
      </c>
      <c r="UAM810" s="1">
        <f t="shared" ref="UAM810:UBS810" si="972">UAJ810+UAL810</f>
        <v>268378.75</v>
      </c>
      <c r="UAN810" s="11">
        <v>15320</v>
      </c>
      <c r="UAO810" s="11">
        <v>60900</v>
      </c>
      <c r="UAP810" s="42" t="s">
        <v>937</v>
      </c>
      <c r="UAQ810" s="7"/>
      <c r="UAR810" s="7"/>
      <c r="UAS810" s="7"/>
      <c r="UAT810" s="7"/>
      <c r="UAU810" s="7"/>
      <c r="UAV810" s="1"/>
      <c r="UAW810" s="1"/>
      <c r="UAX810" s="1"/>
      <c r="UAY810" s="1"/>
      <c r="UAZ810" s="7"/>
      <c r="UBA810" s="1"/>
      <c r="UBB810" s="1"/>
      <c r="UBC810" s="1"/>
      <c r="UBD810" s="1"/>
      <c r="UBE810" s="1"/>
      <c r="UBF810" s="1"/>
      <c r="UBG810" s="1"/>
      <c r="UBH810" s="1"/>
      <c r="UBI810" s="1"/>
      <c r="UBJ810" s="1"/>
      <c r="UBK810" s="1"/>
      <c r="UBL810" s="41"/>
      <c r="UBM810" s="1"/>
      <c r="UBN810" s="1"/>
      <c r="UBO810" s="1"/>
      <c r="UBP810" s="1">
        <v>100302.53</v>
      </c>
      <c r="UBQ810" s="41">
        <f>13095.23+544.5+254739.02</f>
        <v>268378.75</v>
      </c>
      <c r="UBR810" s="1">
        <f t="shared" si="971"/>
        <v>168076.22</v>
      </c>
      <c r="UBS810" s="1">
        <f t="shared" si="972"/>
        <v>268378.75</v>
      </c>
      <c r="UBT810" s="11">
        <v>15320</v>
      </c>
      <c r="UBU810" s="11">
        <v>60900</v>
      </c>
      <c r="UBV810" s="42" t="s">
        <v>937</v>
      </c>
      <c r="UBW810" s="7"/>
      <c r="UBX810" s="7"/>
      <c r="UBY810" s="7"/>
      <c r="UBZ810" s="7"/>
      <c r="UCA810" s="7"/>
      <c r="UCB810" s="1"/>
      <c r="UCC810" s="1"/>
      <c r="UCD810" s="1"/>
      <c r="UCE810" s="1"/>
      <c r="UCF810" s="7"/>
      <c r="UCG810" s="1"/>
      <c r="UCH810" s="1"/>
      <c r="UCI810" s="1"/>
      <c r="UCJ810" s="1"/>
      <c r="UCK810" s="1"/>
      <c r="UCL810" s="1"/>
      <c r="UCM810" s="1"/>
      <c r="UCN810" s="1"/>
      <c r="UCO810" s="1"/>
      <c r="UCP810" s="1"/>
      <c r="UCQ810" s="1"/>
      <c r="UCR810" s="41"/>
      <c r="UCS810" s="1"/>
      <c r="UCT810" s="1"/>
      <c r="UCU810" s="1"/>
      <c r="UCV810" s="1">
        <v>100302.53</v>
      </c>
      <c r="UCW810" s="41">
        <f>13095.23+544.5+254739.02</f>
        <v>268378.75</v>
      </c>
      <c r="UCX810" s="1">
        <f t="shared" ref="UCX810:UED810" si="973">UCW810-UCV810</f>
        <v>168076.22</v>
      </c>
      <c r="UCY810" s="1">
        <f t="shared" ref="UCY810:UEE810" si="974">UCV810+UCX810</f>
        <v>268378.75</v>
      </c>
      <c r="UCZ810" s="11">
        <v>15320</v>
      </c>
      <c r="UDA810" s="11">
        <v>60900</v>
      </c>
      <c r="UDB810" s="42" t="s">
        <v>937</v>
      </c>
      <c r="UDC810" s="7"/>
      <c r="UDD810" s="7"/>
      <c r="UDE810" s="7"/>
      <c r="UDF810" s="7"/>
      <c r="UDG810" s="7"/>
      <c r="UDH810" s="1"/>
      <c r="UDI810" s="1"/>
      <c r="UDJ810" s="1"/>
      <c r="UDK810" s="1"/>
      <c r="UDL810" s="7"/>
      <c r="UDM810" s="1"/>
      <c r="UDN810" s="1"/>
      <c r="UDO810" s="1"/>
      <c r="UDP810" s="1"/>
      <c r="UDQ810" s="1"/>
      <c r="UDR810" s="1"/>
      <c r="UDS810" s="1"/>
      <c r="UDT810" s="1"/>
      <c r="UDU810" s="1"/>
      <c r="UDV810" s="1"/>
      <c r="UDW810" s="1"/>
      <c r="UDX810" s="41"/>
      <c r="UDY810" s="1"/>
      <c r="UDZ810" s="1"/>
      <c r="UEA810" s="1"/>
      <c r="UEB810" s="1">
        <v>100302.53</v>
      </c>
      <c r="UEC810" s="41">
        <f>13095.23+544.5+254739.02</f>
        <v>268378.75</v>
      </c>
      <c r="UED810" s="1">
        <f t="shared" si="973"/>
        <v>168076.22</v>
      </c>
      <c r="UEE810" s="1">
        <f t="shared" si="974"/>
        <v>268378.75</v>
      </c>
      <c r="UEF810" s="11">
        <v>15320</v>
      </c>
      <c r="UEG810" s="11">
        <v>60900</v>
      </c>
      <c r="UEH810" s="42" t="s">
        <v>937</v>
      </c>
      <c r="UEI810" s="7"/>
      <c r="UEJ810" s="7"/>
      <c r="UEK810" s="7"/>
      <c r="UEL810" s="7"/>
      <c r="UEM810" s="7"/>
      <c r="UEN810" s="1"/>
      <c r="UEO810" s="1"/>
      <c r="UEP810" s="1"/>
      <c r="UEQ810" s="1"/>
      <c r="UER810" s="7"/>
      <c r="UES810" s="1"/>
      <c r="UET810" s="1"/>
      <c r="UEU810" s="1"/>
      <c r="UEV810" s="1"/>
      <c r="UEW810" s="1"/>
      <c r="UEX810" s="1"/>
      <c r="UEY810" s="1"/>
      <c r="UEZ810" s="1"/>
      <c r="UFA810" s="1"/>
      <c r="UFB810" s="1"/>
      <c r="UFC810" s="1"/>
      <c r="UFD810" s="41"/>
      <c r="UFE810" s="1"/>
      <c r="UFF810" s="1"/>
      <c r="UFG810" s="1"/>
      <c r="UFH810" s="1">
        <v>100302.53</v>
      </c>
      <c r="UFI810" s="41">
        <f>13095.23+544.5+254739.02</f>
        <v>268378.75</v>
      </c>
      <c r="UFJ810" s="1">
        <f t="shared" ref="UFJ810:UGP810" si="975">UFI810-UFH810</f>
        <v>168076.22</v>
      </c>
      <c r="UFK810" s="1">
        <f t="shared" ref="UFK810:UGQ810" si="976">UFH810+UFJ810</f>
        <v>268378.75</v>
      </c>
      <c r="UFL810" s="11">
        <v>15320</v>
      </c>
      <c r="UFM810" s="11">
        <v>60900</v>
      </c>
      <c r="UFN810" s="42" t="s">
        <v>937</v>
      </c>
      <c r="UFO810" s="7"/>
      <c r="UFP810" s="7"/>
      <c r="UFQ810" s="7"/>
      <c r="UFR810" s="7"/>
      <c r="UFS810" s="7"/>
      <c r="UFT810" s="1"/>
      <c r="UFU810" s="1"/>
      <c r="UFV810" s="1"/>
      <c r="UFW810" s="1"/>
      <c r="UFX810" s="7"/>
      <c r="UFY810" s="1"/>
      <c r="UFZ810" s="1"/>
      <c r="UGA810" s="1"/>
      <c r="UGB810" s="1"/>
      <c r="UGC810" s="1"/>
      <c r="UGD810" s="1"/>
      <c r="UGE810" s="1"/>
      <c r="UGF810" s="1"/>
      <c r="UGG810" s="1"/>
      <c r="UGH810" s="1"/>
      <c r="UGI810" s="1"/>
      <c r="UGJ810" s="41"/>
      <c r="UGK810" s="1"/>
      <c r="UGL810" s="1"/>
      <c r="UGM810" s="1"/>
      <c r="UGN810" s="1">
        <v>100302.53</v>
      </c>
      <c r="UGO810" s="41">
        <f>13095.23+544.5+254739.02</f>
        <v>268378.75</v>
      </c>
      <c r="UGP810" s="1">
        <f t="shared" si="975"/>
        <v>168076.22</v>
      </c>
      <c r="UGQ810" s="1">
        <f t="shared" si="976"/>
        <v>268378.75</v>
      </c>
      <c r="UGR810" s="11">
        <v>15320</v>
      </c>
      <c r="UGS810" s="11">
        <v>60900</v>
      </c>
      <c r="UGT810" s="42" t="s">
        <v>937</v>
      </c>
      <c r="UGU810" s="7"/>
      <c r="UGV810" s="7"/>
      <c r="UGW810" s="7"/>
      <c r="UGX810" s="7"/>
      <c r="UGY810" s="7"/>
      <c r="UGZ810" s="1"/>
      <c r="UHA810" s="1"/>
      <c r="UHB810" s="1"/>
      <c r="UHC810" s="1"/>
      <c r="UHD810" s="7"/>
      <c r="UHE810" s="1"/>
      <c r="UHF810" s="1"/>
      <c r="UHG810" s="1"/>
      <c r="UHH810" s="1"/>
      <c r="UHI810" s="1"/>
      <c r="UHJ810" s="1"/>
      <c r="UHK810" s="1"/>
      <c r="UHL810" s="1"/>
      <c r="UHM810" s="1"/>
      <c r="UHN810" s="1"/>
      <c r="UHO810" s="1"/>
      <c r="UHP810" s="41"/>
      <c r="UHQ810" s="1"/>
      <c r="UHR810" s="1"/>
      <c r="UHS810" s="1"/>
      <c r="UHT810" s="1">
        <v>100302.53</v>
      </c>
      <c r="UHU810" s="41">
        <f>13095.23+544.5+254739.02</f>
        <v>268378.75</v>
      </c>
      <c r="UHV810" s="1">
        <f t="shared" ref="UHV810:UJB810" si="977">UHU810-UHT810</f>
        <v>168076.22</v>
      </c>
      <c r="UHW810" s="1">
        <f t="shared" ref="UHW810:UJC810" si="978">UHT810+UHV810</f>
        <v>268378.75</v>
      </c>
      <c r="UHX810" s="11">
        <v>15320</v>
      </c>
      <c r="UHY810" s="11">
        <v>60900</v>
      </c>
      <c r="UHZ810" s="42" t="s">
        <v>937</v>
      </c>
      <c r="UIA810" s="7"/>
      <c r="UIB810" s="7"/>
      <c r="UIC810" s="7"/>
      <c r="UID810" s="7"/>
      <c r="UIE810" s="7"/>
      <c r="UIF810" s="1"/>
      <c r="UIG810" s="1"/>
      <c r="UIH810" s="1"/>
      <c r="UII810" s="1"/>
      <c r="UIJ810" s="7"/>
      <c r="UIK810" s="1"/>
      <c r="UIL810" s="1"/>
      <c r="UIM810" s="1"/>
      <c r="UIN810" s="1"/>
      <c r="UIO810" s="1"/>
      <c r="UIP810" s="1"/>
      <c r="UIQ810" s="1"/>
      <c r="UIR810" s="1"/>
      <c r="UIS810" s="1"/>
      <c r="UIT810" s="1"/>
      <c r="UIU810" s="1"/>
      <c r="UIV810" s="41"/>
      <c r="UIW810" s="1"/>
      <c r="UIX810" s="1"/>
      <c r="UIY810" s="1"/>
      <c r="UIZ810" s="1">
        <v>100302.53</v>
      </c>
      <c r="UJA810" s="41">
        <f>13095.23+544.5+254739.02</f>
        <v>268378.75</v>
      </c>
      <c r="UJB810" s="1">
        <f t="shared" si="977"/>
        <v>168076.22</v>
      </c>
      <c r="UJC810" s="1">
        <f t="shared" si="978"/>
        <v>268378.75</v>
      </c>
      <c r="UJD810" s="11">
        <v>15320</v>
      </c>
      <c r="UJE810" s="11">
        <v>60900</v>
      </c>
      <c r="UJF810" s="42" t="s">
        <v>937</v>
      </c>
      <c r="UJG810" s="7"/>
      <c r="UJH810" s="7"/>
      <c r="UJI810" s="7"/>
      <c r="UJJ810" s="7"/>
      <c r="UJK810" s="7"/>
      <c r="UJL810" s="1"/>
      <c r="UJM810" s="1"/>
      <c r="UJN810" s="1"/>
      <c r="UJO810" s="1"/>
      <c r="UJP810" s="7"/>
      <c r="UJQ810" s="1"/>
      <c r="UJR810" s="1"/>
      <c r="UJS810" s="1"/>
      <c r="UJT810" s="1"/>
      <c r="UJU810" s="1"/>
      <c r="UJV810" s="1"/>
      <c r="UJW810" s="1"/>
      <c r="UJX810" s="1"/>
      <c r="UJY810" s="1"/>
      <c r="UJZ810" s="1"/>
      <c r="UKA810" s="1"/>
      <c r="UKB810" s="41"/>
      <c r="UKC810" s="1"/>
      <c r="UKD810" s="1"/>
      <c r="UKE810" s="1"/>
      <c r="UKF810" s="1">
        <v>100302.53</v>
      </c>
      <c r="UKG810" s="41">
        <f>13095.23+544.5+254739.02</f>
        <v>268378.75</v>
      </c>
      <c r="UKH810" s="1">
        <f t="shared" ref="UKH810:ULN810" si="979">UKG810-UKF810</f>
        <v>168076.22</v>
      </c>
      <c r="UKI810" s="1">
        <f t="shared" ref="UKI810:ULO810" si="980">UKF810+UKH810</f>
        <v>268378.75</v>
      </c>
      <c r="UKJ810" s="11">
        <v>15320</v>
      </c>
      <c r="UKK810" s="11">
        <v>60900</v>
      </c>
      <c r="UKL810" s="42" t="s">
        <v>937</v>
      </c>
      <c r="UKM810" s="7"/>
      <c r="UKN810" s="7"/>
      <c r="UKO810" s="7"/>
      <c r="UKP810" s="7"/>
      <c r="UKQ810" s="7"/>
      <c r="UKR810" s="1"/>
      <c r="UKS810" s="1"/>
      <c r="UKT810" s="1"/>
      <c r="UKU810" s="1"/>
      <c r="UKV810" s="7"/>
      <c r="UKW810" s="1"/>
      <c r="UKX810" s="1"/>
      <c r="UKY810" s="1"/>
      <c r="UKZ810" s="1"/>
      <c r="ULA810" s="1"/>
      <c r="ULB810" s="1"/>
      <c r="ULC810" s="1"/>
      <c r="ULD810" s="1"/>
      <c r="ULE810" s="1"/>
      <c r="ULF810" s="1"/>
      <c r="ULG810" s="1"/>
      <c r="ULH810" s="41"/>
      <c r="ULI810" s="1"/>
      <c r="ULJ810" s="1"/>
      <c r="ULK810" s="1"/>
      <c r="ULL810" s="1">
        <v>100302.53</v>
      </c>
      <c r="ULM810" s="41">
        <f>13095.23+544.5+254739.02</f>
        <v>268378.75</v>
      </c>
      <c r="ULN810" s="1">
        <f t="shared" si="979"/>
        <v>168076.22</v>
      </c>
      <c r="ULO810" s="1">
        <f t="shared" si="980"/>
        <v>268378.75</v>
      </c>
      <c r="ULP810" s="11">
        <v>15320</v>
      </c>
      <c r="ULQ810" s="11">
        <v>60900</v>
      </c>
      <c r="ULR810" s="42" t="s">
        <v>937</v>
      </c>
      <c r="ULS810" s="7"/>
      <c r="ULT810" s="7"/>
      <c r="ULU810" s="7"/>
      <c r="ULV810" s="7"/>
      <c r="ULW810" s="7"/>
      <c r="ULX810" s="1"/>
      <c r="ULY810" s="1"/>
      <c r="ULZ810" s="1"/>
      <c r="UMA810" s="1"/>
      <c r="UMB810" s="7"/>
      <c r="UMC810" s="1"/>
      <c r="UMD810" s="1"/>
      <c r="UME810" s="1"/>
      <c r="UMF810" s="1"/>
      <c r="UMG810" s="1"/>
      <c r="UMH810" s="1"/>
      <c r="UMI810" s="1"/>
      <c r="UMJ810" s="1"/>
      <c r="UMK810" s="1"/>
      <c r="UML810" s="1"/>
      <c r="UMM810" s="1"/>
      <c r="UMN810" s="41"/>
      <c r="UMO810" s="1"/>
      <c r="UMP810" s="1"/>
      <c r="UMQ810" s="1"/>
      <c r="UMR810" s="1">
        <v>100302.53</v>
      </c>
      <c r="UMS810" s="41">
        <f>13095.23+544.5+254739.02</f>
        <v>268378.75</v>
      </c>
      <c r="UMT810" s="1">
        <f t="shared" ref="UMT810:UNZ810" si="981">UMS810-UMR810</f>
        <v>168076.22</v>
      </c>
      <c r="UMU810" s="1">
        <f t="shared" ref="UMU810:UOA810" si="982">UMR810+UMT810</f>
        <v>268378.75</v>
      </c>
      <c r="UMV810" s="11">
        <v>15320</v>
      </c>
      <c r="UMW810" s="11">
        <v>60900</v>
      </c>
      <c r="UMX810" s="42" t="s">
        <v>937</v>
      </c>
      <c r="UMY810" s="7"/>
      <c r="UMZ810" s="7"/>
      <c r="UNA810" s="7"/>
      <c r="UNB810" s="7"/>
      <c r="UNC810" s="7"/>
      <c r="UND810" s="1"/>
      <c r="UNE810" s="1"/>
      <c r="UNF810" s="1"/>
      <c r="UNG810" s="1"/>
      <c r="UNH810" s="7"/>
      <c r="UNI810" s="1"/>
      <c r="UNJ810" s="1"/>
      <c r="UNK810" s="1"/>
      <c r="UNL810" s="1"/>
      <c r="UNM810" s="1"/>
      <c r="UNN810" s="1"/>
      <c r="UNO810" s="1"/>
      <c r="UNP810" s="1"/>
      <c r="UNQ810" s="1"/>
      <c r="UNR810" s="1"/>
      <c r="UNS810" s="1"/>
      <c r="UNT810" s="41"/>
      <c r="UNU810" s="1"/>
      <c r="UNV810" s="1"/>
      <c r="UNW810" s="1"/>
      <c r="UNX810" s="1">
        <v>100302.53</v>
      </c>
      <c r="UNY810" s="41">
        <f>13095.23+544.5+254739.02</f>
        <v>268378.75</v>
      </c>
      <c r="UNZ810" s="1">
        <f t="shared" si="981"/>
        <v>168076.22</v>
      </c>
      <c r="UOA810" s="1">
        <f t="shared" si="982"/>
        <v>268378.75</v>
      </c>
      <c r="UOB810" s="11">
        <v>15320</v>
      </c>
      <c r="UOC810" s="11">
        <v>60900</v>
      </c>
      <c r="UOD810" s="42" t="s">
        <v>937</v>
      </c>
      <c r="UOE810" s="7"/>
      <c r="UOF810" s="7"/>
      <c r="UOG810" s="7"/>
      <c r="UOH810" s="7"/>
      <c r="UOI810" s="7"/>
      <c r="UOJ810" s="1"/>
      <c r="UOK810" s="1"/>
      <c r="UOL810" s="1"/>
      <c r="UOM810" s="1"/>
      <c r="UON810" s="7"/>
      <c r="UOO810" s="1"/>
      <c r="UOP810" s="1"/>
      <c r="UOQ810" s="1"/>
      <c r="UOR810" s="1"/>
      <c r="UOS810" s="1"/>
      <c r="UOT810" s="1"/>
      <c r="UOU810" s="1"/>
      <c r="UOV810" s="1"/>
      <c r="UOW810" s="1"/>
      <c r="UOX810" s="1"/>
      <c r="UOY810" s="1"/>
      <c r="UOZ810" s="41"/>
      <c r="UPA810" s="1"/>
      <c r="UPB810" s="1"/>
      <c r="UPC810" s="1"/>
      <c r="UPD810" s="1">
        <v>100302.53</v>
      </c>
      <c r="UPE810" s="41">
        <f>13095.23+544.5+254739.02</f>
        <v>268378.75</v>
      </c>
      <c r="UPF810" s="1">
        <f t="shared" ref="UPF810:UQL810" si="983">UPE810-UPD810</f>
        <v>168076.22</v>
      </c>
      <c r="UPG810" s="1">
        <f t="shared" ref="UPG810:UQM810" si="984">UPD810+UPF810</f>
        <v>268378.75</v>
      </c>
      <c r="UPH810" s="11">
        <v>15320</v>
      </c>
      <c r="UPI810" s="11">
        <v>60900</v>
      </c>
      <c r="UPJ810" s="42" t="s">
        <v>937</v>
      </c>
      <c r="UPK810" s="7"/>
      <c r="UPL810" s="7"/>
      <c r="UPM810" s="7"/>
      <c r="UPN810" s="7"/>
      <c r="UPO810" s="7"/>
      <c r="UPP810" s="1"/>
      <c r="UPQ810" s="1"/>
      <c r="UPR810" s="1"/>
      <c r="UPS810" s="1"/>
      <c r="UPT810" s="7"/>
      <c r="UPU810" s="1"/>
      <c r="UPV810" s="1"/>
      <c r="UPW810" s="1"/>
      <c r="UPX810" s="1"/>
      <c r="UPY810" s="1"/>
      <c r="UPZ810" s="1"/>
      <c r="UQA810" s="1"/>
      <c r="UQB810" s="1"/>
      <c r="UQC810" s="1"/>
      <c r="UQD810" s="1"/>
      <c r="UQE810" s="1"/>
      <c r="UQF810" s="41"/>
      <c r="UQG810" s="1"/>
      <c r="UQH810" s="1"/>
      <c r="UQI810" s="1"/>
      <c r="UQJ810" s="1">
        <v>100302.53</v>
      </c>
      <c r="UQK810" s="41">
        <f>13095.23+544.5+254739.02</f>
        <v>268378.75</v>
      </c>
      <c r="UQL810" s="1">
        <f t="shared" si="983"/>
        <v>168076.22</v>
      </c>
      <c r="UQM810" s="1">
        <f t="shared" si="984"/>
        <v>268378.75</v>
      </c>
      <c r="UQN810" s="11">
        <v>15320</v>
      </c>
      <c r="UQO810" s="11">
        <v>60900</v>
      </c>
      <c r="UQP810" s="42" t="s">
        <v>937</v>
      </c>
      <c r="UQQ810" s="7"/>
      <c r="UQR810" s="7"/>
      <c r="UQS810" s="7"/>
      <c r="UQT810" s="7"/>
      <c r="UQU810" s="7"/>
      <c r="UQV810" s="1"/>
      <c r="UQW810" s="1"/>
      <c r="UQX810" s="1"/>
      <c r="UQY810" s="1"/>
      <c r="UQZ810" s="7"/>
      <c r="URA810" s="1"/>
      <c r="URB810" s="1"/>
      <c r="URC810" s="1"/>
      <c r="URD810" s="1"/>
      <c r="URE810" s="1"/>
      <c r="URF810" s="1"/>
      <c r="URG810" s="1"/>
      <c r="URH810" s="1"/>
      <c r="URI810" s="1"/>
      <c r="URJ810" s="1"/>
      <c r="URK810" s="1"/>
      <c r="URL810" s="41"/>
      <c r="URM810" s="1"/>
      <c r="URN810" s="1"/>
      <c r="URO810" s="1"/>
      <c r="URP810" s="1">
        <v>100302.53</v>
      </c>
      <c r="URQ810" s="41">
        <f>13095.23+544.5+254739.02</f>
        <v>268378.75</v>
      </c>
      <c r="URR810" s="1">
        <f t="shared" ref="URR810:USX810" si="985">URQ810-URP810</f>
        <v>168076.22</v>
      </c>
      <c r="URS810" s="1">
        <f t="shared" ref="URS810:USY810" si="986">URP810+URR810</f>
        <v>268378.75</v>
      </c>
      <c r="URT810" s="11">
        <v>15320</v>
      </c>
      <c r="URU810" s="11">
        <v>60900</v>
      </c>
      <c r="URV810" s="42" t="s">
        <v>937</v>
      </c>
      <c r="URW810" s="7"/>
      <c r="URX810" s="7"/>
      <c r="URY810" s="7"/>
      <c r="URZ810" s="7"/>
      <c r="USA810" s="7"/>
      <c r="USB810" s="1"/>
      <c r="USC810" s="1"/>
      <c r="USD810" s="1"/>
      <c r="USE810" s="1"/>
      <c r="USF810" s="7"/>
      <c r="USG810" s="1"/>
      <c r="USH810" s="1"/>
      <c r="USI810" s="1"/>
      <c r="USJ810" s="1"/>
      <c r="USK810" s="1"/>
      <c r="USL810" s="1"/>
      <c r="USM810" s="1"/>
      <c r="USN810" s="1"/>
      <c r="USO810" s="1"/>
      <c r="USP810" s="1"/>
      <c r="USQ810" s="1"/>
      <c r="USR810" s="41"/>
      <c r="USS810" s="1"/>
      <c r="UST810" s="1"/>
      <c r="USU810" s="1"/>
      <c r="USV810" s="1">
        <v>100302.53</v>
      </c>
      <c r="USW810" s="41">
        <f>13095.23+544.5+254739.02</f>
        <v>268378.75</v>
      </c>
      <c r="USX810" s="1">
        <f t="shared" si="985"/>
        <v>168076.22</v>
      </c>
      <c r="USY810" s="1">
        <f t="shared" si="986"/>
        <v>268378.75</v>
      </c>
      <c r="USZ810" s="11">
        <v>15320</v>
      </c>
      <c r="UTA810" s="11">
        <v>60900</v>
      </c>
      <c r="UTB810" s="42" t="s">
        <v>937</v>
      </c>
      <c r="UTC810" s="7"/>
      <c r="UTD810" s="7"/>
      <c r="UTE810" s="7"/>
      <c r="UTF810" s="7"/>
      <c r="UTG810" s="7"/>
      <c r="UTH810" s="1"/>
      <c r="UTI810" s="1"/>
      <c r="UTJ810" s="1"/>
      <c r="UTK810" s="1"/>
      <c r="UTL810" s="7"/>
      <c r="UTM810" s="1"/>
      <c r="UTN810" s="1"/>
      <c r="UTO810" s="1"/>
      <c r="UTP810" s="1"/>
      <c r="UTQ810" s="1"/>
      <c r="UTR810" s="1"/>
      <c r="UTS810" s="1"/>
      <c r="UTT810" s="1"/>
      <c r="UTU810" s="1"/>
      <c r="UTV810" s="1"/>
      <c r="UTW810" s="1"/>
      <c r="UTX810" s="41"/>
      <c r="UTY810" s="1"/>
      <c r="UTZ810" s="1"/>
      <c r="UUA810" s="1"/>
      <c r="UUB810" s="1">
        <v>100302.53</v>
      </c>
      <c r="UUC810" s="41">
        <f>13095.23+544.5+254739.02</f>
        <v>268378.75</v>
      </c>
      <c r="UUD810" s="1">
        <f t="shared" ref="UUD810:UVJ810" si="987">UUC810-UUB810</f>
        <v>168076.22</v>
      </c>
      <c r="UUE810" s="1">
        <f t="shared" ref="UUE810:UVK810" si="988">UUB810+UUD810</f>
        <v>268378.75</v>
      </c>
      <c r="UUF810" s="11">
        <v>15320</v>
      </c>
      <c r="UUG810" s="11">
        <v>60900</v>
      </c>
      <c r="UUH810" s="42" t="s">
        <v>937</v>
      </c>
      <c r="UUI810" s="7"/>
      <c r="UUJ810" s="7"/>
      <c r="UUK810" s="7"/>
      <c r="UUL810" s="7"/>
      <c r="UUM810" s="7"/>
      <c r="UUN810" s="1"/>
      <c r="UUO810" s="1"/>
      <c r="UUP810" s="1"/>
      <c r="UUQ810" s="1"/>
      <c r="UUR810" s="7"/>
      <c r="UUS810" s="1"/>
      <c r="UUT810" s="1"/>
      <c r="UUU810" s="1"/>
      <c r="UUV810" s="1"/>
      <c r="UUW810" s="1"/>
      <c r="UUX810" s="1"/>
      <c r="UUY810" s="1"/>
      <c r="UUZ810" s="1"/>
      <c r="UVA810" s="1"/>
      <c r="UVB810" s="1"/>
      <c r="UVC810" s="1"/>
      <c r="UVD810" s="41"/>
      <c r="UVE810" s="1"/>
      <c r="UVF810" s="1"/>
      <c r="UVG810" s="1"/>
      <c r="UVH810" s="1">
        <v>100302.53</v>
      </c>
      <c r="UVI810" s="41">
        <f>13095.23+544.5+254739.02</f>
        <v>268378.75</v>
      </c>
      <c r="UVJ810" s="1">
        <f t="shared" si="987"/>
        <v>168076.22</v>
      </c>
      <c r="UVK810" s="1">
        <f t="shared" si="988"/>
        <v>268378.75</v>
      </c>
      <c r="UVL810" s="11">
        <v>15320</v>
      </c>
      <c r="UVM810" s="11">
        <v>60900</v>
      </c>
      <c r="UVN810" s="42" t="s">
        <v>937</v>
      </c>
      <c r="UVO810" s="7"/>
      <c r="UVP810" s="7"/>
      <c r="UVQ810" s="7"/>
      <c r="UVR810" s="7"/>
      <c r="UVS810" s="7"/>
      <c r="UVT810" s="1"/>
      <c r="UVU810" s="1"/>
      <c r="UVV810" s="1"/>
      <c r="UVW810" s="1"/>
      <c r="UVX810" s="7"/>
      <c r="UVY810" s="1"/>
      <c r="UVZ810" s="1"/>
      <c r="UWA810" s="1"/>
      <c r="UWB810" s="1"/>
      <c r="UWC810" s="1"/>
      <c r="UWD810" s="1"/>
      <c r="UWE810" s="1"/>
      <c r="UWF810" s="1"/>
      <c r="UWG810" s="1"/>
      <c r="UWH810" s="1"/>
      <c r="UWI810" s="1"/>
      <c r="UWJ810" s="41"/>
      <c r="UWK810" s="1"/>
      <c r="UWL810" s="1"/>
      <c r="UWM810" s="1"/>
      <c r="UWN810" s="1">
        <v>100302.53</v>
      </c>
      <c r="UWO810" s="41">
        <f>13095.23+544.5+254739.02</f>
        <v>268378.75</v>
      </c>
      <c r="UWP810" s="1">
        <f t="shared" ref="UWP810:UXV810" si="989">UWO810-UWN810</f>
        <v>168076.22</v>
      </c>
      <c r="UWQ810" s="1">
        <f t="shared" ref="UWQ810:UXW810" si="990">UWN810+UWP810</f>
        <v>268378.75</v>
      </c>
      <c r="UWR810" s="11">
        <v>15320</v>
      </c>
      <c r="UWS810" s="11">
        <v>60900</v>
      </c>
      <c r="UWT810" s="42" t="s">
        <v>937</v>
      </c>
      <c r="UWU810" s="7"/>
      <c r="UWV810" s="7"/>
      <c r="UWW810" s="7"/>
      <c r="UWX810" s="7"/>
      <c r="UWY810" s="7"/>
      <c r="UWZ810" s="1"/>
      <c r="UXA810" s="1"/>
      <c r="UXB810" s="1"/>
      <c r="UXC810" s="1"/>
      <c r="UXD810" s="7"/>
      <c r="UXE810" s="1"/>
      <c r="UXF810" s="1"/>
      <c r="UXG810" s="1"/>
      <c r="UXH810" s="1"/>
      <c r="UXI810" s="1"/>
      <c r="UXJ810" s="1"/>
      <c r="UXK810" s="1"/>
      <c r="UXL810" s="1"/>
      <c r="UXM810" s="1"/>
      <c r="UXN810" s="1"/>
      <c r="UXO810" s="1"/>
      <c r="UXP810" s="41"/>
      <c r="UXQ810" s="1"/>
      <c r="UXR810" s="1"/>
      <c r="UXS810" s="1"/>
      <c r="UXT810" s="1">
        <v>100302.53</v>
      </c>
      <c r="UXU810" s="41">
        <f>13095.23+544.5+254739.02</f>
        <v>268378.75</v>
      </c>
      <c r="UXV810" s="1">
        <f t="shared" si="989"/>
        <v>168076.22</v>
      </c>
      <c r="UXW810" s="1">
        <f t="shared" si="990"/>
        <v>268378.75</v>
      </c>
      <c r="UXX810" s="11">
        <v>15320</v>
      </c>
      <c r="UXY810" s="11">
        <v>60900</v>
      </c>
      <c r="UXZ810" s="42" t="s">
        <v>937</v>
      </c>
      <c r="UYA810" s="7"/>
      <c r="UYB810" s="7"/>
      <c r="UYC810" s="7"/>
      <c r="UYD810" s="7"/>
      <c r="UYE810" s="7"/>
      <c r="UYF810" s="1"/>
      <c r="UYG810" s="1"/>
      <c r="UYH810" s="1"/>
      <c r="UYI810" s="1"/>
      <c r="UYJ810" s="7"/>
      <c r="UYK810" s="1"/>
      <c r="UYL810" s="1"/>
      <c r="UYM810" s="1"/>
      <c r="UYN810" s="1"/>
      <c r="UYO810" s="1"/>
      <c r="UYP810" s="1"/>
      <c r="UYQ810" s="1"/>
      <c r="UYR810" s="1"/>
      <c r="UYS810" s="1"/>
      <c r="UYT810" s="1"/>
      <c r="UYU810" s="1"/>
      <c r="UYV810" s="41"/>
      <c r="UYW810" s="1"/>
      <c r="UYX810" s="1"/>
      <c r="UYY810" s="1"/>
      <c r="UYZ810" s="1">
        <v>100302.53</v>
      </c>
      <c r="UZA810" s="41">
        <f>13095.23+544.5+254739.02</f>
        <v>268378.75</v>
      </c>
      <c r="UZB810" s="1">
        <f t="shared" ref="UZB810:VAH810" si="991">UZA810-UYZ810</f>
        <v>168076.22</v>
      </c>
      <c r="UZC810" s="1">
        <f t="shared" ref="UZC810:VAI810" si="992">UYZ810+UZB810</f>
        <v>268378.75</v>
      </c>
      <c r="UZD810" s="11">
        <v>15320</v>
      </c>
      <c r="UZE810" s="11">
        <v>60900</v>
      </c>
      <c r="UZF810" s="42" t="s">
        <v>937</v>
      </c>
      <c r="UZG810" s="7"/>
      <c r="UZH810" s="7"/>
      <c r="UZI810" s="7"/>
      <c r="UZJ810" s="7"/>
      <c r="UZK810" s="7"/>
      <c r="UZL810" s="1"/>
      <c r="UZM810" s="1"/>
      <c r="UZN810" s="1"/>
      <c r="UZO810" s="1"/>
      <c r="UZP810" s="7"/>
      <c r="UZQ810" s="1"/>
      <c r="UZR810" s="1"/>
      <c r="UZS810" s="1"/>
      <c r="UZT810" s="1"/>
      <c r="UZU810" s="1"/>
      <c r="UZV810" s="1"/>
      <c r="UZW810" s="1"/>
      <c r="UZX810" s="1"/>
      <c r="UZY810" s="1"/>
      <c r="UZZ810" s="1"/>
      <c r="VAA810" s="1"/>
      <c r="VAB810" s="41"/>
      <c r="VAC810" s="1"/>
      <c r="VAD810" s="1"/>
      <c r="VAE810" s="1"/>
      <c r="VAF810" s="1">
        <v>100302.53</v>
      </c>
      <c r="VAG810" s="41">
        <f>13095.23+544.5+254739.02</f>
        <v>268378.75</v>
      </c>
      <c r="VAH810" s="1">
        <f t="shared" si="991"/>
        <v>168076.22</v>
      </c>
      <c r="VAI810" s="1">
        <f t="shared" si="992"/>
        <v>268378.75</v>
      </c>
      <c r="VAJ810" s="11">
        <v>15320</v>
      </c>
      <c r="VAK810" s="11">
        <v>60900</v>
      </c>
      <c r="VAL810" s="42" t="s">
        <v>937</v>
      </c>
      <c r="VAM810" s="7"/>
      <c r="VAN810" s="7"/>
      <c r="VAO810" s="7"/>
      <c r="VAP810" s="7"/>
      <c r="VAQ810" s="7"/>
      <c r="VAR810" s="1"/>
      <c r="VAS810" s="1"/>
      <c r="VAT810" s="1"/>
      <c r="VAU810" s="1"/>
      <c r="VAV810" s="7"/>
      <c r="VAW810" s="1"/>
      <c r="VAX810" s="1"/>
      <c r="VAY810" s="1"/>
      <c r="VAZ810" s="1"/>
      <c r="VBA810" s="1"/>
      <c r="VBB810" s="1"/>
      <c r="VBC810" s="1"/>
      <c r="VBD810" s="1"/>
      <c r="VBE810" s="1"/>
      <c r="VBF810" s="1"/>
      <c r="VBG810" s="1"/>
      <c r="VBH810" s="41"/>
      <c r="VBI810" s="1"/>
      <c r="VBJ810" s="1"/>
      <c r="VBK810" s="1"/>
      <c r="VBL810" s="1">
        <v>100302.53</v>
      </c>
      <c r="VBM810" s="41">
        <f>13095.23+544.5+254739.02</f>
        <v>268378.75</v>
      </c>
      <c r="VBN810" s="1">
        <f t="shared" ref="VBN810:VCT810" si="993">VBM810-VBL810</f>
        <v>168076.22</v>
      </c>
      <c r="VBO810" s="1">
        <f t="shared" ref="VBO810:VCU810" si="994">VBL810+VBN810</f>
        <v>268378.75</v>
      </c>
      <c r="VBP810" s="11">
        <v>15320</v>
      </c>
      <c r="VBQ810" s="11">
        <v>60900</v>
      </c>
      <c r="VBR810" s="42" t="s">
        <v>937</v>
      </c>
      <c r="VBS810" s="7"/>
      <c r="VBT810" s="7"/>
      <c r="VBU810" s="7"/>
      <c r="VBV810" s="7"/>
      <c r="VBW810" s="7"/>
      <c r="VBX810" s="1"/>
      <c r="VBY810" s="1"/>
      <c r="VBZ810" s="1"/>
      <c r="VCA810" s="1"/>
      <c r="VCB810" s="7"/>
      <c r="VCC810" s="1"/>
      <c r="VCD810" s="1"/>
      <c r="VCE810" s="1"/>
      <c r="VCF810" s="1"/>
      <c r="VCG810" s="1"/>
      <c r="VCH810" s="1"/>
      <c r="VCI810" s="1"/>
      <c r="VCJ810" s="1"/>
      <c r="VCK810" s="1"/>
      <c r="VCL810" s="1"/>
      <c r="VCM810" s="1"/>
      <c r="VCN810" s="41"/>
      <c r="VCO810" s="1"/>
      <c r="VCP810" s="1"/>
      <c r="VCQ810" s="1"/>
      <c r="VCR810" s="1">
        <v>100302.53</v>
      </c>
      <c r="VCS810" s="41">
        <f>13095.23+544.5+254739.02</f>
        <v>268378.75</v>
      </c>
      <c r="VCT810" s="1">
        <f t="shared" si="993"/>
        <v>168076.22</v>
      </c>
      <c r="VCU810" s="1">
        <f t="shared" si="994"/>
        <v>268378.75</v>
      </c>
      <c r="VCV810" s="11">
        <v>15320</v>
      </c>
      <c r="VCW810" s="11">
        <v>60900</v>
      </c>
      <c r="VCX810" s="42" t="s">
        <v>937</v>
      </c>
      <c r="VCY810" s="7"/>
      <c r="VCZ810" s="7"/>
      <c r="VDA810" s="7"/>
      <c r="VDB810" s="7"/>
      <c r="VDC810" s="7"/>
      <c r="VDD810" s="1"/>
      <c r="VDE810" s="1"/>
      <c r="VDF810" s="1"/>
      <c r="VDG810" s="1"/>
      <c r="VDH810" s="7"/>
      <c r="VDI810" s="1"/>
      <c r="VDJ810" s="1"/>
      <c r="VDK810" s="1"/>
      <c r="VDL810" s="1"/>
      <c r="VDM810" s="1"/>
      <c r="VDN810" s="1"/>
      <c r="VDO810" s="1"/>
      <c r="VDP810" s="1"/>
      <c r="VDQ810" s="1"/>
      <c r="VDR810" s="1"/>
      <c r="VDS810" s="1"/>
      <c r="VDT810" s="41"/>
      <c r="VDU810" s="1"/>
      <c r="VDV810" s="1"/>
      <c r="VDW810" s="1"/>
      <c r="VDX810" s="1">
        <v>100302.53</v>
      </c>
      <c r="VDY810" s="41">
        <f>13095.23+544.5+254739.02</f>
        <v>268378.75</v>
      </c>
      <c r="VDZ810" s="1">
        <f t="shared" ref="VDZ810:VFF810" si="995">VDY810-VDX810</f>
        <v>168076.22</v>
      </c>
      <c r="VEA810" s="1">
        <f t="shared" ref="VEA810:VFG810" si="996">VDX810+VDZ810</f>
        <v>268378.75</v>
      </c>
      <c r="VEB810" s="11">
        <v>15320</v>
      </c>
      <c r="VEC810" s="11">
        <v>60900</v>
      </c>
      <c r="VED810" s="42" t="s">
        <v>937</v>
      </c>
      <c r="VEE810" s="7"/>
      <c r="VEF810" s="7"/>
      <c r="VEG810" s="7"/>
      <c r="VEH810" s="7"/>
      <c r="VEI810" s="7"/>
      <c r="VEJ810" s="1"/>
      <c r="VEK810" s="1"/>
      <c r="VEL810" s="1"/>
      <c r="VEM810" s="1"/>
      <c r="VEN810" s="7"/>
      <c r="VEO810" s="1"/>
      <c r="VEP810" s="1"/>
      <c r="VEQ810" s="1"/>
      <c r="VER810" s="1"/>
      <c r="VES810" s="1"/>
      <c r="VET810" s="1"/>
      <c r="VEU810" s="1"/>
      <c r="VEV810" s="1"/>
      <c r="VEW810" s="1"/>
      <c r="VEX810" s="1"/>
      <c r="VEY810" s="1"/>
      <c r="VEZ810" s="41"/>
      <c r="VFA810" s="1"/>
      <c r="VFB810" s="1"/>
      <c r="VFC810" s="1"/>
      <c r="VFD810" s="1">
        <v>100302.53</v>
      </c>
      <c r="VFE810" s="41">
        <f>13095.23+544.5+254739.02</f>
        <v>268378.75</v>
      </c>
      <c r="VFF810" s="1">
        <f t="shared" si="995"/>
        <v>168076.22</v>
      </c>
      <c r="VFG810" s="1">
        <f t="shared" si="996"/>
        <v>268378.75</v>
      </c>
      <c r="VFH810" s="11">
        <v>15320</v>
      </c>
      <c r="VFI810" s="11">
        <v>60900</v>
      </c>
      <c r="VFJ810" s="42" t="s">
        <v>937</v>
      </c>
      <c r="VFK810" s="7"/>
      <c r="VFL810" s="7"/>
      <c r="VFM810" s="7"/>
      <c r="VFN810" s="7"/>
      <c r="VFO810" s="7"/>
      <c r="VFP810" s="1"/>
      <c r="VFQ810" s="1"/>
      <c r="VFR810" s="1"/>
      <c r="VFS810" s="1"/>
      <c r="VFT810" s="7"/>
      <c r="VFU810" s="1"/>
      <c r="VFV810" s="1"/>
      <c r="VFW810" s="1"/>
      <c r="VFX810" s="1"/>
      <c r="VFY810" s="1"/>
      <c r="VFZ810" s="1"/>
      <c r="VGA810" s="1"/>
      <c r="VGB810" s="1"/>
      <c r="VGC810" s="1"/>
      <c r="VGD810" s="1"/>
      <c r="VGE810" s="1"/>
      <c r="VGF810" s="41"/>
      <c r="VGG810" s="1"/>
      <c r="VGH810" s="1"/>
      <c r="VGI810" s="1"/>
      <c r="VGJ810" s="1">
        <v>100302.53</v>
      </c>
      <c r="VGK810" s="41">
        <f>13095.23+544.5+254739.02</f>
        <v>268378.75</v>
      </c>
      <c r="VGL810" s="1">
        <f t="shared" ref="VGL810:VHR810" si="997">VGK810-VGJ810</f>
        <v>168076.22</v>
      </c>
      <c r="VGM810" s="1">
        <f t="shared" ref="VGM810:VHS810" si="998">VGJ810+VGL810</f>
        <v>268378.75</v>
      </c>
      <c r="VGN810" s="11">
        <v>15320</v>
      </c>
      <c r="VGO810" s="11">
        <v>60900</v>
      </c>
      <c r="VGP810" s="42" t="s">
        <v>937</v>
      </c>
      <c r="VGQ810" s="7"/>
      <c r="VGR810" s="7"/>
      <c r="VGS810" s="7"/>
      <c r="VGT810" s="7"/>
      <c r="VGU810" s="7"/>
      <c r="VGV810" s="1"/>
      <c r="VGW810" s="1"/>
      <c r="VGX810" s="1"/>
      <c r="VGY810" s="1"/>
      <c r="VGZ810" s="7"/>
      <c r="VHA810" s="1"/>
      <c r="VHB810" s="1"/>
      <c r="VHC810" s="1"/>
      <c r="VHD810" s="1"/>
      <c r="VHE810" s="1"/>
      <c r="VHF810" s="1"/>
      <c r="VHG810" s="1"/>
      <c r="VHH810" s="1"/>
      <c r="VHI810" s="1"/>
      <c r="VHJ810" s="1"/>
      <c r="VHK810" s="1"/>
      <c r="VHL810" s="41"/>
      <c r="VHM810" s="1"/>
      <c r="VHN810" s="1"/>
      <c r="VHO810" s="1"/>
      <c r="VHP810" s="1">
        <v>100302.53</v>
      </c>
      <c r="VHQ810" s="41">
        <f>13095.23+544.5+254739.02</f>
        <v>268378.75</v>
      </c>
      <c r="VHR810" s="1">
        <f t="shared" si="997"/>
        <v>168076.22</v>
      </c>
      <c r="VHS810" s="1">
        <f t="shared" si="998"/>
        <v>268378.75</v>
      </c>
      <c r="VHT810" s="11">
        <v>15320</v>
      </c>
      <c r="VHU810" s="11">
        <v>60900</v>
      </c>
      <c r="VHV810" s="42" t="s">
        <v>937</v>
      </c>
      <c r="VHW810" s="7"/>
      <c r="VHX810" s="7"/>
      <c r="VHY810" s="7"/>
      <c r="VHZ810" s="7"/>
      <c r="VIA810" s="7"/>
      <c r="VIB810" s="1"/>
      <c r="VIC810" s="1"/>
      <c r="VID810" s="1"/>
      <c r="VIE810" s="1"/>
      <c r="VIF810" s="7"/>
      <c r="VIG810" s="1"/>
      <c r="VIH810" s="1"/>
      <c r="VII810" s="1"/>
      <c r="VIJ810" s="1"/>
      <c r="VIK810" s="1"/>
      <c r="VIL810" s="1"/>
      <c r="VIM810" s="1"/>
      <c r="VIN810" s="1"/>
      <c r="VIO810" s="1"/>
      <c r="VIP810" s="1"/>
      <c r="VIQ810" s="1"/>
      <c r="VIR810" s="41"/>
      <c r="VIS810" s="1"/>
      <c r="VIT810" s="1"/>
      <c r="VIU810" s="1"/>
      <c r="VIV810" s="1">
        <v>100302.53</v>
      </c>
      <c r="VIW810" s="41">
        <f>13095.23+544.5+254739.02</f>
        <v>268378.75</v>
      </c>
      <c r="VIX810" s="1">
        <f t="shared" ref="VIX810:VKD810" si="999">VIW810-VIV810</f>
        <v>168076.22</v>
      </c>
      <c r="VIY810" s="1">
        <f t="shared" ref="VIY810:VKE810" si="1000">VIV810+VIX810</f>
        <v>268378.75</v>
      </c>
      <c r="VIZ810" s="11">
        <v>15320</v>
      </c>
      <c r="VJA810" s="11">
        <v>60900</v>
      </c>
      <c r="VJB810" s="42" t="s">
        <v>937</v>
      </c>
      <c r="VJC810" s="7"/>
      <c r="VJD810" s="7"/>
      <c r="VJE810" s="7"/>
      <c r="VJF810" s="7"/>
      <c r="VJG810" s="7"/>
      <c r="VJH810" s="1"/>
      <c r="VJI810" s="1"/>
      <c r="VJJ810" s="1"/>
      <c r="VJK810" s="1"/>
      <c r="VJL810" s="7"/>
      <c r="VJM810" s="1"/>
      <c r="VJN810" s="1"/>
      <c r="VJO810" s="1"/>
      <c r="VJP810" s="1"/>
      <c r="VJQ810" s="1"/>
      <c r="VJR810" s="1"/>
      <c r="VJS810" s="1"/>
      <c r="VJT810" s="1"/>
      <c r="VJU810" s="1"/>
      <c r="VJV810" s="1"/>
      <c r="VJW810" s="1"/>
      <c r="VJX810" s="41"/>
      <c r="VJY810" s="1"/>
      <c r="VJZ810" s="1"/>
      <c r="VKA810" s="1"/>
      <c r="VKB810" s="1">
        <v>100302.53</v>
      </c>
      <c r="VKC810" s="41">
        <f>13095.23+544.5+254739.02</f>
        <v>268378.75</v>
      </c>
      <c r="VKD810" s="1">
        <f t="shared" si="999"/>
        <v>168076.22</v>
      </c>
      <c r="VKE810" s="1">
        <f t="shared" si="1000"/>
        <v>268378.75</v>
      </c>
      <c r="VKF810" s="11">
        <v>15320</v>
      </c>
      <c r="VKG810" s="11">
        <v>60900</v>
      </c>
      <c r="VKH810" s="42" t="s">
        <v>937</v>
      </c>
      <c r="VKI810" s="7"/>
      <c r="VKJ810" s="7"/>
      <c r="VKK810" s="7"/>
      <c r="VKL810" s="7"/>
      <c r="VKM810" s="7"/>
      <c r="VKN810" s="1"/>
      <c r="VKO810" s="1"/>
      <c r="VKP810" s="1"/>
      <c r="VKQ810" s="1"/>
      <c r="VKR810" s="7"/>
      <c r="VKS810" s="1"/>
      <c r="VKT810" s="1"/>
      <c r="VKU810" s="1"/>
      <c r="VKV810" s="1"/>
      <c r="VKW810" s="1"/>
      <c r="VKX810" s="1"/>
      <c r="VKY810" s="1"/>
      <c r="VKZ810" s="1"/>
      <c r="VLA810" s="1"/>
      <c r="VLB810" s="1"/>
      <c r="VLC810" s="1"/>
      <c r="VLD810" s="41"/>
      <c r="VLE810" s="1"/>
      <c r="VLF810" s="1"/>
      <c r="VLG810" s="1"/>
      <c r="VLH810" s="1">
        <v>100302.53</v>
      </c>
      <c r="VLI810" s="41">
        <f>13095.23+544.5+254739.02</f>
        <v>268378.75</v>
      </c>
      <c r="VLJ810" s="1">
        <f t="shared" ref="VLJ810:VMP810" si="1001">VLI810-VLH810</f>
        <v>168076.22</v>
      </c>
      <c r="VLK810" s="1">
        <f t="shared" ref="VLK810:VMQ810" si="1002">VLH810+VLJ810</f>
        <v>268378.75</v>
      </c>
      <c r="VLL810" s="11">
        <v>15320</v>
      </c>
      <c r="VLM810" s="11">
        <v>60900</v>
      </c>
      <c r="VLN810" s="42" t="s">
        <v>937</v>
      </c>
      <c r="VLO810" s="7"/>
      <c r="VLP810" s="7"/>
      <c r="VLQ810" s="7"/>
      <c r="VLR810" s="7"/>
      <c r="VLS810" s="7"/>
      <c r="VLT810" s="1"/>
      <c r="VLU810" s="1"/>
      <c r="VLV810" s="1"/>
      <c r="VLW810" s="1"/>
      <c r="VLX810" s="7"/>
      <c r="VLY810" s="1"/>
      <c r="VLZ810" s="1"/>
      <c r="VMA810" s="1"/>
      <c r="VMB810" s="1"/>
      <c r="VMC810" s="1"/>
      <c r="VMD810" s="1"/>
      <c r="VME810" s="1"/>
      <c r="VMF810" s="1"/>
      <c r="VMG810" s="1"/>
      <c r="VMH810" s="1"/>
      <c r="VMI810" s="1"/>
      <c r="VMJ810" s="41"/>
      <c r="VMK810" s="1"/>
      <c r="VML810" s="1"/>
      <c r="VMM810" s="1"/>
      <c r="VMN810" s="1">
        <v>100302.53</v>
      </c>
      <c r="VMO810" s="41">
        <f>13095.23+544.5+254739.02</f>
        <v>268378.75</v>
      </c>
      <c r="VMP810" s="1">
        <f t="shared" si="1001"/>
        <v>168076.22</v>
      </c>
      <c r="VMQ810" s="1">
        <f t="shared" si="1002"/>
        <v>268378.75</v>
      </c>
      <c r="VMR810" s="11">
        <v>15320</v>
      </c>
      <c r="VMS810" s="11">
        <v>60900</v>
      </c>
      <c r="VMT810" s="42" t="s">
        <v>937</v>
      </c>
      <c r="VMU810" s="7"/>
      <c r="VMV810" s="7"/>
      <c r="VMW810" s="7"/>
      <c r="VMX810" s="7"/>
      <c r="VMY810" s="7"/>
      <c r="VMZ810" s="1"/>
      <c r="VNA810" s="1"/>
      <c r="VNB810" s="1"/>
      <c r="VNC810" s="1"/>
      <c r="VND810" s="7"/>
      <c r="VNE810" s="1"/>
      <c r="VNF810" s="1"/>
      <c r="VNG810" s="1"/>
      <c r="VNH810" s="1"/>
      <c r="VNI810" s="1"/>
      <c r="VNJ810" s="1"/>
      <c r="VNK810" s="1"/>
      <c r="VNL810" s="1"/>
      <c r="VNM810" s="1"/>
      <c r="VNN810" s="1"/>
      <c r="VNO810" s="1"/>
      <c r="VNP810" s="41"/>
      <c r="VNQ810" s="1"/>
      <c r="VNR810" s="1"/>
      <c r="VNS810" s="1"/>
      <c r="VNT810" s="1">
        <v>100302.53</v>
      </c>
      <c r="VNU810" s="41">
        <f>13095.23+544.5+254739.02</f>
        <v>268378.75</v>
      </c>
      <c r="VNV810" s="1">
        <f t="shared" ref="VNV810:VPB810" si="1003">VNU810-VNT810</f>
        <v>168076.22</v>
      </c>
      <c r="VNW810" s="1">
        <f t="shared" ref="VNW810:VPC810" si="1004">VNT810+VNV810</f>
        <v>268378.75</v>
      </c>
      <c r="VNX810" s="11">
        <v>15320</v>
      </c>
      <c r="VNY810" s="11">
        <v>60900</v>
      </c>
      <c r="VNZ810" s="42" t="s">
        <v>937</v>
      </c>
      <c r="VOA810" s="7"/>
      <c r="VOB810" s="7"/>
      <c r="VOC810" s="7"/>
      <c r="VOD810" s="7"/>
      <c r="VOE810" s="7"/>
      <c r="VOF810" s="1"/>
      <c r="VOG810" s="1"/>
      <c r="VOH810" s="1"/>
      <c r="VOI810" s="1"/>
      <c r="VOJ810" s="7"/>
      <c r="VOK810" s="1"/>
      <c r="VOL810" s="1"/>
      <c r="VOM810" s="1"/>
      <c r="VON810" s="1"/>
      <c r="VOO810" s="1"/>
      <c r="VOP810" s="1"/>
      <c r="VOQ810" s="1"/>
      <c r="VOR810" s="1"/>
      <c r="VOS810" s="1"/>
      <c r="VOT810" s="1"/>
      <c r="VOU810" s="1"/>
      <c r="VOV810" s="41"/>
      <c r="VOW810" s="1"/>
      <c r="VOX810" s="1"/>
      <c r="VOY810" s="1"/>
      <c r="VOZ810" s="1">
        <v>100302.53</v>
      </c>
      <c r="VPA810" s="41">
        <f>13095.23+544.5+254739.02</f>
        <v>268378.75</v>
      </c>
      <c r="VPB810" s="1">
        <f t="shared" si="1003"/>
        <v>168076.22</v>
      </c>
      <c r="VPC810" s="1">
        <f t="shared" si="1004"/>
        <v>268378.75</v>
      </c>
      <c r="VPD810" s="11">
        <v>15320</v>
      </c>
      <c r="VPE810" s="11">
        <v>60900</v>
      </c>
      <c r="VPF810" s="42" t="s">
        <v>937</v>
      </c>
      <c r="VPG810" s="7"/>
      <c r="VPH810" s="7"/>
      <c r="VPI810" s="7"/>
      <c r="VPJ810" s="7"/>
      <c r="VPK810" s="7"/>
      <c r="VPL810" s="1"/>
      <c r="VPM810" s="1"/>
      <c r="VPN810" s="1"/>
      <c r="VPO810" s="1"/>
      <c r="VPP810" s="7"/>
      <c r="VPQ810" s="1"/>
      <c r="VPR810" s="1"/>
      <c r="VPS810" s="1"/>
      <c r="VPT810" s="1"/>
      <c r="VPU810" s="1"/>
      <c r="VPV810" s="1"/>
      <c r="VPW810" s="1"/>
      <c r="VPX810" s="1"/>
      <c r="VPY810" s="1"/>
      <c r="VPZ810" s="1"/>
      <c r="VQA810" s="1"/>
      <c r="VQB810" s="41"/>
      <c r="VQC810" s="1"/>
      <c r="VQD810" s="1"/>
      <c r="VQE810" s="1"/>
      <c r="VQF810" s="1">
        <v>100302.53</v>
      </c>
      <c r="VQG810" s="41">
        <f>13095.23+544.5+254739.02</f>
        <v>268378.75</v>
      </c>
      <c r="VQH810" s="1">
        <f t="shared" ref="VQH810:VRN810" si="1005">VQG810-VQF810</f>
        <v>168076.22</v>
      </c>
      <c r="VQI810" s="1">
        <f t="shared" ref="VQI810:VRO810" si="1006">VQF810+VQH810</f>
        <v>268378.75</v>
      </c>
      <c r="VQJ810" s="11">
        <v>15320</v>
      </c>
      <c r="VQK810" s="11">
        <v>60900</v>
      </c>
      <c r="VQL810" s="42" t="s">
        <v>937</v>
      </c>
      <c r="VQM810" s="7"/>
      <c r="VQN810" s="7"/>
      <c r="VQO810" s="7"/>
      <c r="VQP810" s="7"/>
      <c r="VQQ810" s="7"/>
      <c r="VQR810" s="1"/>
      <c r="VQS810" s="1"/>
      <c r="VQT810" s="1"/>
      <c r="VQU810" s="1"/>
      <c r="VQV810" s="7"/>
      <c r="VQW810" s="1"/>
      <c r="VQX810" s="1"/>
      <c r="VQY810" s="1"/>
      <c r="VQZ810" s="1"/>
      <c r="VRA810" s="1"/>
      <c r="VRB810" s="1"/>
      <c r="VRC810" s="1"/>
      <c r="VRD810" s="1"/>
      <c r="VRE810" s="1"/>
      <c r="VRF810" s="1"/>
      <c r="VRG810" s="1"/>
      <c r="VRH810" s="41"/>
      <c r="VRI810" s="1"/>
      <c r="VRJ810" s="1"/>
      <c r="VRK810" s="1"/>
      <c r="VRL810" s="1">
        <v>100302.53</v>
      </c>
      <c r="VRM810" s="41">
        <f>13095.23+544.5+254739.02</f>
        <v>268378.75</v>
      </c>
      <c r="VRN810" s="1">
        <f t="shared" si="1005"/>
        <v>168076.22</v>
      </c>
      <c r="VRO810" s="1">
        <f t="shared" si="1006"/>
        <v>268378.75</v>
      </c>
      <c r="VRP810" s="11">
        <v>15320</v>
      </c>
      <c r="VRQ810" s="11">
        <v>60900</v>
      </c>
      <c r="VRR810" s="42" t="s">
        <v>937</v>
      </c>
      <c r="VRS810" s="7"/>
      <c r="VRT810" s="7"/>
      <c r="VRU810" s="7"/>
      <c r="VRV810" s="7"/>
      <c r="VRW810" s="7"/>
      <c r="VRX810" s="1"/>
      <c r="VRY810" s="1"/>
      <c r="VRZ810" s="1"/>
      <c r="VSA810" s="1"/>
      <c r="VSB810" s="7"/>
      <c r="VSC810" s="1"/>
      <c r="VSD810" s="1"/>
      <c r="VSE810" s="1"/>
      <c r="VSF810" s="1"/>
      <c r="VSG810" s="1"/>
      <c r="VSH810" s="1"/>
      <c r="VSI810" s="1"/>
      <c r="VSJ810" s="1"/>
      <c r="VSK810" s="1"/>
      <c r="VSL810" s="1"/>
      <c r="VSM810" s="1"/>
      <c r="VSN810" s="41"/>
      <c r="VSO810" s="1"/>
      <c r="VSP810" s="1"/>
      <c r="VSQ810" s="1"/>
      <c r="VSR810" s="1">
        <v>100302.53</v>
      </c>
      <c r="VSS810" s="41">
        <f>13095.23+544.5+254739.02</f>
        <v>268378.75</v>
      </c>
      <c r="VST810" s="1">
        <f t="shared" ref="VST810:VTZ810" si="1007">VSS810-VSR810</f>
        <v>168076.22</v>
      </c>
      <c r="VSU810" s="1">
        <f t="shared" ref="VSU810:VUA810" si="1008">VSR810+VST810</f>
        <v>268378.75</v>
      </c>
      <c r="VSV810" s="11">
        <v>15320</v>
      </c>
      <c r="VSW810" s="11">
        <v>60900</v>
      </c>
      <c r="VSX810" s="42" t="s">
        <v>937</v>
      </c>
      <c r="VSY810" s="7"/>
      <c r="VSZ810" s="7"/>
      <c r="VTA810" s="7"/>
      <c r="VTB810" s="7"/>
      <c r="VTC810" s="7"/>
      <c r="VTD810" s="1"/>
      <c r="VTE810" s="1"/>
      <c r="VTF810" s="1"/>
      <c r="VTG810" s="1"/>
      <c r="VTH810" s="7"/>
      <c r="VTI810" s="1"/>
      <c r="VTJ810" s="1"/>
      <c r="VTK810" s="1"/>
      <c r="VTL810" s="1"/>
      <c r="VTM810" s="1"/>
      <c r="VTN810" s="1"/>
      <c r="VTO810" s="1"/>
      <c r="VTP810" s="1"/>
      <c r="VTQ810" s="1"/>
      <c r="VTR810" s="1"/>
      <c r="VTS810" s="1"/>
      <c r="VTT810" s="41"/>
      <c r="VTU810" s="1"/>
      <c r="VTV810" s="1"/>
      <c r="VTW810" s="1"/>
      <c r="VTX810" s="1">
        <v>100302.53</v>
      </c>
      <c r="VTY810" s="41">
        <f>13095.23+544.5+254739.02</f>
        <v>268378.75</v>
      </c>
      <c r="VTZ810" s="1">
        <f t="shared" si="1007"/>
        <v>168076.22</v>
      </c>
      <c r="VUA810" s="1">
        <f t="shared" si="1008"/>
        <v>268378.75</v>
      </c>
      <c r="VUB810" s="11">
        <v>15320</v>
      </c>
      <c r="VUC810" s="11">
        <v>60900</v>
      </c>
      <c r="VUD810" s="42" t="s">
        <v>937</v>
      </c>
      <c r="VUE810" s="7"/>
      <c r="VUF810" s="7"/>
      <c r="VUG810" s="7"/>
      <c r="VUH810" s="7"/>
      <c r="VUI810" s="7"/>
      <c r="VUJ810" s="1"/>
      <c r="VUK810" s="1"/>
      <c r="VUL810" s="1"/>
      <c r="VUM810" s="1"/>
      <c r="VUN810" s="7"/>
      <c r="VUO810" s="1"/>
      <c r="VUP810" s="1"/>
      <c r="VUQ810" s="1"/>
      <c r="VUR810" s="1"/>
      <c r="VUS810" s="1"/>
      <c r="VUT810" s="1"/>
      <c r="VUU810" s="1"/>
      <c r="VUV810" s="1"/>
      <c r="VUW810" s="1"/>
      <c r="VUX810" s="1"/>
      <c r="VUY810" s="1"/>
      <c r="VUZ810" s="41"/>
      <c r="VVA810" s="1"/>
      <c r="VVB810" s="1"/>
      <c r="VVC810" s="1"/>
      <c r="VVD810" s="1">
        <v>100302.53</v>
      </c>
      <c r="VVE810" s="41">
        <f>13095.23+544.5+254739.02</f>
        <v>268378.75</v>
      </c>
      <c r="VVF810" s="1">
        <f t="shared" ref="VVF810:VWL810" si="1009">VVE810-VVD810</f>
        <v>168076.22</v>
      </c>
      <c r="VVG810" s="1">
        <f t="shared" ref="VVG810:VWM810" si="1010">VVD810+VVF810</f>
        <v>268378.75</v>
      </c>
      <c r="VVH810" s="11">
        <v>15320</v>
      </c>
      <c r="VVI810" s="11">
        <v>60900</v>
      </c>
      <c r="VVJ810" s="42" t="s">
        <v>937</v>
      </c>
      <c r="VVK810" s="7"/>
      <c r="VVL810" s="7"/>
      <c r="VVM810" s="7"/>
      <c r="VVN810" s="7"/>
      <c r="VVO810" s="7"/>
      <c r="VVP810" s="1"/>
      <c r="VVQ810" s="1"/>
      <c r="VVR810" s="1"/>
      <c r="VVS810" s="1"/>
      <c r="VVT810" s="7"/>
      <c r="VVU810" s="1"/>
      <c r="VVV810" s="1"/>
      <c r="VVW810" s="1"/>
      <c r="VVX810" s="1"/>
      <c r="VVY810" s="1"/>
      <c r="VVZ810" s="1"/>
      <c r="VWA810" s="1"/>
      <c r="VWB810" s="1"/>
      <c r="VWC810" s="1"/>
      <c r="VWD810" s="1"/>
      <c r="VWE810" s="1"/>
      <c r="VWF810" s="41"/>
      <c r="VWG810" s="1"/>
      <c r="VWH810" s="1"/>
      <c r="VWI810" s="1"/>
      <c r="VWJ810" s="1">
        <v>100302.53</v>
      </c>
      <c r="VWK810" s="41">
        <f>13095.23+544.5+254739.02</f>
        <v>268378.75</v>
      </c>
      <c r="VWL810" s="1">
        <f t="shared" si="1009"/>
        <v>168076.22</v>
      </c>
      <c r="VWM810" s="1">
        <f t="shared" si="1010"/>
        <v>268378.75</v>
      </c>
      <c r="VWN810" s="11">
        <v>15320</v>
      </c>
      <c r="VWO810" s="11">
        <v>60900</v>
      </c>
      <c r="VWP810" s="42" t="s">
        <v>937</v>
      </c>
      <c r="VWQ810" s="7"/>
      <c r="VWR810" s="7"/>
      <c r="VWS810" s="7"/>
      <c r="VWT810" s="7"/>
      <c r="VWU810" s="7"/>
      <c r="VWV810" s="1"/>
      <c r="VWW810" s="1"/>
      <c r="VWX810" s="1"/>
      <c r="VWY810" s="1"/>
      <c r="VWZ810" s="7"/>
      <c r="VXA810" s="1"/>
      <c r="VXB810" s="1"/>
      <c r="VXC810" s="1"/>
      <c r="VXD810" s="1"/>
      <c r="VXE810" s="1"/>
      <c r="VXF810" s="1"/>
      <c r="VXG810" s="1"/>
      <c r="VXH810" s="1"/>
      <c r="VXI810" s="1"/>
      <c r="VXJ810" s="1"/>
      <c r="VXK810" s="1"/>
      <c r="VXL810" s="41"/>
      <c r="VXM810" s="1"/>
      <c r="VXN810" s="1"/>
      <c r="VXO810" s="1"/>
      <c r="VXP810" s="1">
        <v>100302.53</v>
      </c>
      <c r="VXQ810" s="41">
        <f>13095.23+544.5+254739.02</f>
        <v>268378.75</v>
      </c>
      <c r="VXR810" s="1">
        <f t="shared" ref="VXR810:VYX810" si="1011">VXQ810-VXP810</f>
        <v>168076.22</v>
      </c>
      <c r="VXS810" s="1">
        <f t="shared" ref="VXS810:VYY810" si="1012">VXP810+VXR810</f>
        <v>268378.75</v>
      </c>
      <c r="VXT810" s="11">
        <v>15320</v>
      </c>
      <c r="VXU810" s="11">
        <v>60900</v>
      </c>
      <c r="VXV810" s="42" t="s">
        <v>937</v>
      </c>
      <c r="VXW810" s="7"/>
      <c r="VXX810" s="7"/>
      <c r="VXY810" s="7"/>
      <c r="VXZ810" s="7"/>
      <c r="VYA810" s="7"/>
      <c r="VYB810" s="1"/>
      <c r="VYC810" s="1"/>
      <c r="VYD810" s="1"/>
      <c r="VYE810" s="1"/>
      <c r="VYF810" s="7"/>
      <c r="VYG810" s="1"/>
      <c r="VYH810" s="1"/>
      <c r="VYI810" s="1"/>
      <c r="VYJ810" s="1"/>
      <c r="VYK810" s="1"/>
      <c r="VYL810" s="1"/>
      <c r="VYM810" s="1"/>
      <c r="VYN810" s="1"/>
      <c r="VYO810" s="1"/>
      <c r="VYP810" s="1"/>
      <c r="VYQ810" s="1"/>
      <c r="VYR810" s="41"/>
      <c r="VYS810" s="1"/>
      <c r="VYT810" s="1"/>
      <c r="VYU810" s="1"/>
      <c r="VYV810" s="1">
        <v>100302.53</v>
      </c>
      <c r="VYW810" s="41">
        <f>13095.23+544.5+254739.02</f>
        <v>268378.75</v>
      </c>
      <c r="VYX810" s="1">
        <f t="shared" si="1011"/>
        <v>168076.22</v>
      </c>
      <c r="VYY810" s="1">
        <f t="shared" si="1012"/>
        <v>268378.75</v>
      </c>
      <c r="VYZ810" s="11">
        <v>15320</v>
      </c>
      <c r="VZA810" s="11">
        <v>60900</v>
      </c>
      <c r="VZB810" s="42" t="s">
        <v>937</v>
      </c>
      <c r="VZC810" s="7"/>
      <c r="VZD810" s="7"/>
      <c r="VZE810" s="7"/>
      <c r="VZF810" s="7"/>
      <c r="VZG810" s="7"/>
      <c r="VZH810" s="1"/>
      <c r="VZI810" s="1"/>
      <c r="VZJ810" s="1"/>
      <c r="VZK810" s="1"/>
      <c r="VZL810" s="7"/>
      <c r="VZM810" s="1"/>
      <c r="VZN810" s="1"/>
      <c r="VZO810" s="1"/>
      <c r="VZP810" s="1"/>
      <c r="VZQ810" s="1"/>
      <c r="VZR810" s="1"/>
      <c r="VZS810" s="1"/>
      <c r="VZT810" s="1"/>
      <c r="VZU810" s="1"/>
      <c r="VZV810" s="1"/>
      <c r="VZW810" s="1"/>
      <c r="VZX810" s="41"/>
      <c r="VZY810" s="1"/>
      <c r="VZZ810" s="1"/>
      <c r="WAA810" s="1"/>
      <c r="WAB810" s="1">
        <v>100302.53</v>
      </c>
      <c r="WAC810" s="41">
        <f>13095.23+544.5+254739.02</f>
        <v>268378.75</v>
      </c>
      <c r="WAD810" s="1">
        <f t="shared" ref="WAD810:WBJ810" si="1013">WAC810-WAB810</f>
        <v>168076.22</v>
      </c>
      <c r="WAE810" s="1">
        <f t="shared" ref="WAE810:WBK810" si="1014">WAB810+WAD810</f>
        <v>268378.75</v>
      </c>
      <c r="WAF810" s="11">
        <v>15320</v>
      </c>
      <c r="WAG810" s="11">
        <v>60900</v>
      </c>
      <c r="WAH810" s="42" t="s">
        <v>937</v>
      </c>
      <c r="WAI810" s="7"/>
      <c r="WAJ810" s="7"/>
      <c r="WAK810" s="7"/>
      <c r="WAL810" s="7"/>
      <c r="WAM810" s="7"/>
      <c r="WAN810" s="1"/>
      <c r="WAO810" s="1"/>
      <c r="WAP810" s="1"/>
      <c r="WAQ810" s="1"/>
      <c r="WAR810" s="7"/>
      <c r="WAS810" s="1"/>
      <c r="WAT810" s="1"/>
      <c r="WAU810" s="1"/>
      <c r="WAV810" s="1"/>
      <c r="WAW810" s="1"/>
      <c r="WAX810" s="1"/>
      <c r="WAY810" s="1"/>
      <c r="WAZ810" s="1"/>
      <c r="WBA810" s="1"/>
      <c r="WBB810" s="1"/>
      <c r="WBC810" s="1"/>
      <c r="WBD810" s="41"/>
      <c r="WBE810" s="1"/>
      <c r="WBF810" s="1"/>
      <c r="WBG810" s="1"/>
      <c r="WBH810" s="1">
        <v>100302.53</v>
      </c>
      <c r="WBI810" s="41">
        <f>13095.23+544.5+254739.02</f>
        <v>268378.75</v>
      </c>
      <c r="WBJ810" s="1">
        <f t="shared" si="1013"/>
        <v>168076.22</v>
      </c>
      <c r="WBK810" s="1">
        <f t="shared" si="1014"/>
        <v>268378.75</v>
      </c>
      <c r="WBL810" s="11">
        <v>15320</v>
      </c>
      <c r="WBM810" s="11">
        <v>60900</v>
      </c>
      <c r="WBN810" s="42" t="s">
        <v>937</v>
      </c>
      <c r="WBO810" s="7"/>
      <c r="WBP810" s="7"/>
      <c r="WBQ810" s="7"/>
      <c r="WBR810" s="7"/>
      <c r="WBS810" s="7"/>
      <c r="WBT810" s="1"/>
      <c r="WBU810" s="1"/>
      <c r="WBV810" s="1"/>
      <c r="WBW810" s="1"/>
      <c r="WBX810" s="7"/>
      <c r="WBY810" s="1"/>
      <c r="WBZ810" s="1"/>
      <c r="WCA810" s="1"/>
      <c r="WCB810" s="1"/>
      <c r="WCC810" s="1"/>
      <c r="WCD810" s="1"/>
      <c r="WCE810" s="1"/>
      <c r="WCF810" s="1"/>
      <c r="WCG810" s="1"/>
      <c r="WCH810" s="1"/>
      <c r="WCI810" s="1"/>
      <c r="WCJ810" s="41"/>
      <c r="WCK810" s="1"/>
      <c r="WCL810" s="1"/>
      <c r="WCM810" s="1"/>
      <c r="WCN810" s="1">
        <v>100302.53</v>
      </c>
      <c r="WCO810" s="41">
        <f>13095.23+544.5+254739.02</f>
        <v>268378.75</v>
      </c>
      <c r="WCP810" s="1">
        <f t="shared" ref="WCP810:WDV810" si="1015">WCO810-WCN810</f>
        <v>168076.22</v>
      </c>
      <c r="WCQ810" s="1">
        <f t="shared" ref="WCQ810:WDW810" si="1016">WCN810+WCP810</f>
        <v>268378.75</v>
      </c>
      <c r="WCR810" s="11">
        <v>15320</v>
      </c>
      <c r="WCS810" s="11">
        <v>60900</v>
      </c>
      <c r="WCT810" s="42" t="s">
        <v>937</v>
      </c>
      <c r="WCU810" s="7"/>
      <c r="WCV810" s="7"/>
      <c r="WCW810" s="7"/>
      <c r="WCX810" s="7"/>
      <c r="WCY810" s="7"/>
      <c r="WCZ810" s="1"/>
      <c r="WDA810" s="1"/>
      <c r="WDB810" s="1"/>
      <c r="WDC810" s="1"/>
      <c r="WDD810" s="7"/>
      <c r="WDE810" s="1"/>
      <c r="WDF810" s="1"/>
      <c r="WDG810" s="1"/>
      <c r="WDH810" s="1"/>
      <c r="WDI810" s="1"/>
      <c r="WDJ810" s="1"/>
      <c r="WDK810" s="1"/>
      <c r="WDL810" s="1"/>
      <c r="WDM810" s="1"/>
      <c r="WDN810" s="1"/>
      <c r="WDO810" s="1"/>
      <c r="WDP810" s="41"/>
      <c r="WDQ810" s="1"/>
      <c r="WDR810" s="1"/>
      <c r="WDS810" s="1"/>
      <c r="WDT810" s="1">
        <v>100302.53</v>
      </c>
      <c r="WDU810" s="41">
        <f>13095.23+544.5+254739.02</f>
        <v>268378.75</v>
      </c>
      <c r="WDV810" s="1">
        <f t="shared" si="1015"/>
        <v>168076.22</v>
      </c>
      <c r="WDW810" s="1">
        <f t="shared" si="1016"/>
        <v>268378.75</v>
      </c>
      <c r="WDX810" s="11">
        <v>15320</v>
      </c>
      <c r="WDY810" s="11">
        <v>60900</v>
      </c>
      <c r="WDZ810" s="42" t="s">
        <v>937</v>
      </c>
      <c r="WEA810" s="7"/>
      <c r="WEB810" s="7"/>
      <c r="WEC810" s="7"/>
      <c r="WED810" s="7"/>
      <c r="WEE810" s="7"/>
      <c r="WEF810" s="1"/>
      <c r="WEG810" s="1"/>
      <c r="WEH810" s="1"/>
      <c r="WEI810" s="1"/>
      <c r="WEJ810" s="7"/>
      <c r="WEK810" s="1"/>
      <c r="WEL810" s="1"/>
      <c r="WEM810" s="1"/>
      <c r="WEN810" s="1"/>
      <c r="WEO810" s="1"/>
      <c r="WEP810" s="1"/>
      <c r="WEQ810" s="1"/>
      <c r="WER810" s="1"/>
      <c r="WES810" s="1"/>
      <c r="WET810" s="1"/>
      <c r="WEU810" s="1"/>
      <c r="WEV810" s="41"/>
      <c r="WEW810" s="1"/>
      <c r="WEX810" s="1"/>
      <c r="WEY810" s="1"/>
      <c r="WEZ810" s="1">
        <v>100302.53</v>
      </c>
      <c r="WFA810" s="41">
        <f>13095.23+544.5+254739.02</f>
        <v>268378.75</v>
      </c>
      <c r="WFB810" s="1">
        <f t="shared" ref="WFB810:WGH810" si="1017">WFA810-WEZ810</f>
        <v>168076.22</v>
      </c>
      <c r="WFC810" s="1">
        <f t="shared" ref="WFC810:WGI810" si="1018">WEZ810+WFB810</f>
        <v>268378.75</v>
      </c>
      <c r="WFD810" s="11">
        <v>15320</v>
      </c>
      <c r="WFE810" s="11">
        <v>60900</v>
      </c>
      <c r="WFF810" s="42" t="s">
        <v>937</v>
      </c>
      <c r="WFG810" s="7"/>
      <c r="WFH810" s="7"/>
      <c r="WFI810" s="7"/>
      <c r="WFJ810" s="7"/>
      <c r="WFK810" s="7"/>
      <c r="WFL810" s="1"/>
      <c r="WFM810" s="1"/>
      <c r="WFN810" s="1"/>
      <c r="WFO810" s="1"/>
      <c r="WFP810" s="7"/>
      <c r="WFQ810" s="1"/>
      <c r="WFR810" s="1"/>
      <c r="WFS810" s="1"/>
      <c r="WFT810" s="1"/>
      <c r="WFU810" s="1"/>
      <c r="WFV810" s="1"/>
      <c r="WFW810" s="1"/>
      <c r="WFX810" s="1"/>
      <c r="WFY810" s="1"/>
      <c r="WFZ810" s="1"/>
      <c r="WGA810" s="1"/>
      <c r="WGB810" s="41"/>
      <c r="WGC810" s="1"/>
      <c r="WGD810" s="1"/>
      <c r="WGE810" s="1"/>
      <c r="WGF810" s="1">
        <v>100302.53</v>
      </c>
      <c r="WGG810" s="41">
        <f>13095.23+544.5+254739.02</f>
        <v>268378.75</v>
      </c>
      <c r="WGH810" s="1">
        <f t="shared" si="1017"/>
        <v>168076.22</v>
      </c>
      <c r="WGI810" s="1">
        <f t="shared" si="1018"/>
        <v>268378.75</v>
      </c>
      <c r="WGJ810" s="11">
        <v>15320</v>
      </c>
      <c r="WGK810" s="11">
        <v>60900</v>
      </c>
      <c r="WGL810" s="42" t="s">
        <v>937</v>
      </c>
      <c r="WGM810" s="7"/>
      <c r="WGN810" s="7"/>
      <c r="WGO810" s="7"/>
      <c r="WGP810" s="7"/>
      <c r="WGQ810" s="7"/>
      <c r="WGR810" s="1"/>
      <c r="WGS810" s="1"/>
      <c r="WGT810" s="1"/>
      <c r="WGU810" s="1"/>
      <c r="WGV810" s="7"/>
      <c r="WGW810" s="1"/>
      <c r="WGX810" s="1"/>
      <c r="WGY810" s="1"/>
      <c r="WGZ810" s="1"/>
      <c r="WHA810" s="1"/>
      <c r="WHB810" s="1"/>
      <c r="WHC810" s="1"/>
      <c r="WHD810" s="1"/>
      <c r="WHE810" s="1"/>
      <c r="WHF810" s="1"/>
      <c r="WHG810" s="1"/>
      <c r="WHH810" s="41"/>
      <c r="WHI810" s="1"/>
      <c r="WHJ810" s="1"/>
      <c r="WHK810" s="1"/>
      <c r="WHL810" s="1">
        <v>100302.53</v>
      </c>
      <c r="WHM810" s="41">
        <f>13095.23+544.5+254739.02</f>
        <v>268378.75</v>
      </c>
      <c r="WHN810" s="1">
        <f t="shared" ref="WHN810:WIT810" si="1019">WHM810-WHL810</f>
        <v>168076.22</v>
      </c>
      <c r="WHO810" s="1">
        <f t="shared" ref="WHO810:WIU810" si="1020">WHL810+WHN810</f>
        <v>268378.75</v>
      </c>
      <c r="WHP810" s="11">
        <v>15320</v>
      </c>
      <c r="WHQ810" s="11">
        <v>60900</v>
      </c>
      <c r="WHR810" s="42" t="s">
        <v>937</v>
      </c>
      <c r="WHS810" s="7"/>
      <c r="WHT810" s="7"/>
      <c r="WHU810" s="7"/>
      <c r="WHV810" s="7"/>
      <c r="WHW810" s="7"/>
      <c r="WHX810" s="1"/>
      <c r="WHY810" s="1"/>
      <c r="WHZ810" s="1"/>
      <c r="WIA810" s="1"/>
      <c r="WIB810" s="7"/>
      <c r="WIC810" s="1"/>
      <c r="WID810" s="1"/>
      <c r="WIE810" s="1"/>
      <c r="WIF810" s="1"/>
      <c r="WIG810" s="1"/>
      <c r="WIH810" s="1"/>
      <c r="WII810" s="1"/>
      <c r="WIJ810" s="1"/>
      <c r="WIK810" s="1"/>
      <c r="WIL810" s="1"/>
      <c r="WIM810" s="1"/>
      <c r="WIN810" s="41"/>
      <c r="WIO810" s="1"/>
      <c r="WIP810" s="1"/>
      <c r="WIQ810" s="1"/>
      <c r="WIR810" s="1">
        <v>100302.53</v>
      </c>
      <c r="WIS810" s="41">
        <f>13095.23+544.5+254739.02</f>
        <v>268378.75</v>
      </c>
      <c r="WIT810" s="1">
        <f t="shared" si="1019"/>
        <v>168076.22</v>
      </c>
      <c r="WIU810" s="1">
        <f t="shared" si="1020"/>
        <v>268378.75</v>
      </c>
      <c r="WIV810" s="11">
        <v>15320</v>
      </c>
      <c r="WIW810" s="11">
        <v>60900</v>
      </c>
      <c r="WIX810" s="42" t="s">
        <v>937</v>
      </c>
      <c r="WIY810" s="7"/>
      <c r="WIZ810" s="7"/>
      <c r="WJA810" s="7"/>
      <c r="WJB810" s="7"/>
      <c r="WJC810" s="7"/>
      <c r="WJD810" s="1"/>
      <c r="WJE810" s="1"/>
      <c r="WJF810" s="1"/>
      <c r="WJG810" s="1"/>
      <c r="WJH810" s="7"/>
      <c r="WJI810" s="1"/>
      <c r="WJJ810" s="1"/>
      <c r="WJK810" s="1"/>
      <c r="WJL810" s="1"/>
      <c r="WJM810" s="1"/>
      <c r="WJN810" s="1"/>
      <c r="WJO810" s="1"/>
      <c r="WJP810" s="1"/>
      <c r="WJQ810" s="1"/>
      <c r="WJR810" s="1"/>
      <c r="WJS810" s="1"/>
      <c r="WJT810" s="41"/>
      <c r="WJU810" s="1"/>
      <c r="WJV810" s="1"/>
      <c r="WJW810" s="1"/>
      <c r="WJX810" s="1">
        <v>100302.53</v>
      </c>
      <c r="WJY810" s="41">
        <f>13095.23+544.5+254739.02</f>
        <v>268378.75</v>
      </c>
      <c r="WJZ810" s="1">
        <f t="shared" ref="WJZ810:WLF810" si="1021">WJY810-WJX810</f>
        <v>168076.22</v>
      </c>
      <c r="WKA810" s="1">
        <f t="shared" ref="WKA810:WLG810" si="1022">WJX810+WJZ810</f>
        <v>268378.75</v>
      </c>
      <c r="WKB810" s="11">
        <v>15320</v>
      </c>
      <c r="WKC810" s="11">
        <v>60900</v>
      </c>
      <c r="WKD810" s="42" t="s">
        <v>937</v>
      </c>
      <c r="WKE810" s="7"/>
      <c r="WKF810" s="7"/>
      <c r="WKG810" s="7"/>
      <c r="WKH810" s="7"/>
      <c r="WKI810" s="7"/>
      <c r="WKJ810" s="1"/>
      <c r="WKK810" s="1"/>
      <c r="WKL810" s="1"/>
      <c r="WKM810" s="1"/>
      <c r="WKN810" s="7"/>
      <c r="WKO810" s="1"/>
      <c r="WKP810" s="1"/>
      <c r="WKQ810" s="1"/>
      <c r="WKR810" s="1"/>
      <c r="WKS810" s="1"/>
      <c r="WKT810" s="1"/>
      <c r="WKU810" s="1"/>
      <c r="WKV810" s="1"/>
      <c r="WKW810" s="1"/>
      <c r="WKX810" s="1"/>
      <c r="WKY810" s="1"/>
      <c r="WKZ810" s="41"/>
      <c r="WLA810" s="1"/>
      <c r="WLB810" s="1"/>
      <c r="WLC810" s="1"/>
      <c r="WLD810" s="1">
        <v>100302.53</v>
      </c>
      <c r="WLE810" s="41">
        <f>13095.23+544.5+254739.02</f>
        <v>268378.75</v>
      </c>
      <c r="WLF810" s="1">
        <f t="shared" si="1021"/>
        <v>168076.22</v>
      </c>
      <c r="WLG810" s="1">
        <f t="shared" si="1022"/>
        <v>268378.75</v>
      </c>
      <c r="WLH810" s="11">
        <v>15320</v>
      </c>
      <c r="WLI810" s="11">
        <v>60900</v>
      </c>
      <c r="WLJ810" s="42" t="s">
        <v>937</v>
      </c>
      <c r="WLK810" s="7"/>
      <c r="WLL810" s="7"/>
      <c r="WLM810" s="7"/>
      <c r="WLN810" s="7"/>
      <c r="WLO810" s="7"/>
      <c r="WLP810" s="1"/>
      <c r="WLQ810" s="1"/>
      <c r="WLR810" s="1"/>
      <c r="WLS810" s="1"/>
      <c r="WLT810" s="7"/>
      <c r="WLU810" s="1"/>
      <c r="WLV810" s="1"/>
      <c r="WLW810" s="1"/>
      <c r="WLX810" s="1"/>
      <c r="WLY810" s="1"/>
      <c r="WLZ810" s="1"/>
      <c r="WMA810" s="1"/>
      <c r="WMB810" s="1"/>
      <c r="WMC810" s="1"/>
      <c r="WMD810" s="1"/>
      <c r="WME810" s="1"/>
      <c r="WMF810" s="41"/>
      <c r="WMG810" s="1"/>
      <c r="WMH810" s="1"/>
      <c r="WMI810" s="1"/>
      <c r="WMJ810" s="1">
        <v>100302.53</v>
      </c>
      <c r="WMK810" s="41">
        <f>13095.23+544.5+254739.02</f>
        <v>268378.75</v>
      </c>
      <c r="WML810" s="1">
        <f t="shared" ref="WML810:WNR810" si="1023">WMK810-WMJ810</f>
        <v>168076.22</v>
      </c>
      <c r="WMM810" s="1">
        <f t="shared" ref="WMM810:WNS810" si="1024">WMJ810+WML810</f>
        <v>268378.75</v>
      </c>
      <c r="WMN810" s="11">
        <v>15320</v>
      </c>
      <c r="WMO810" s="11">
        <v>60900</v>
      </c>
      <c r="WMP810" s="42" t="s">
        <v>937</v>
      </c>
      <c r="WMQ810" s="7"/>
      <c r="WMR810" s="7"/>
      <c r="WMS810" s="7"/>
      <c r="WMT810" s="7"/>
      <c r="WMU810" s="7"/>
      <c r="WMV810" s="1"/>
      <c r="WMW810" s="1"/>
      <c r="WMX810" s="1"/>
      <c r="WMY810" s="1"/>
      <c r="WMZ810" s="7"/>
      <c r="WNA810" s="1"/>
      <c r="WNB810" s="1"/>
      <c r="WNC810" s="1"/>
      <c r="WND810" s="1"/>
      <c r="WNE810" s="1"/>
      <c r="WNF810" s="1"/>
      <c r="WNG810" s="1"/>
      <c r="WNH810" s="1"/>
      <c r="WNI810" s="1"/>
      <c r="WNJ810" s="1"/>
      <c r="WNK810" s="1"/>
      <c r="WNL810" s="41"/>
      <c r="WNM810" s="1"/>
      <c r="WNN810" s="1"/>
      <c r="WNO810" s="1"/>
      <c r="WNP810" s="1">
        <v>100302.53</v>
      </c>
      <c r="WNQ810" s="41">
        <f>13095.23+544.5+254739.02</f>
        <v>268378.75</v>
      </c>
      <c r="WNR810" s="1">
        <f t="shared" si="1023"/>
        <v>168076.22</v>
      </c>
      <c r="WNS810" s="1">
        <f t="shared" si="1024"/>
        <v>268378.75</v>
      </c>
      <c r="WNT810" s="11">
        <v>15320</v>
      </c>
      <c r="WNU810" s="11">
        <v>60900</v>
      </c>
      <c r="WNV810" s="42" t="s">
        <v>937</v>
      </c>
      <c r="WNW810" s="7"/>
      <c r="WNX810" s="7"/>
      <c r="WNY810" s="7"/>
      <c r="WNZ810" s="7"/>
      <c r="WOA810" s="7"/>
      <c r="WOB810" s="1"/>
      <c r="WOC810" s="1"/>
      <c r="WOD810" s="1"/>
      <c r="WOE810" s="1"/>
      <c r="WOF810" s="7"/>
      <c r="WOG810" s="1"/>
      <c r="WOH810" s="1"/>
      <c r="WOI810" s="1"/>
      <c r="WOJ810" s="1"/>
      <c r="WOK810" s="1"/>
      <c r="WOL810" s="1"/>
      <c r="WOM810" s="1"/>
      <c r="WON810" s="1"/>
      <c r="WOO810" s="1"/>
      <c r="WOP810" s="1"/>
      <c r="WOQ810" s="1"/>
      <c r="WOR810" s="41"/>
      <c r="WOS810" s="1"/>
      <c r="WOT810" s="1"/>
      <c r="WOU810" s="1"/>
      <c r="WOV810" s="1">
        <v>100302.53</v>
      </c>
      <c r="WOW810" s="41">
        <f>13095.23+544.5+254739.02</f>
        <v>268378.75</v>
      </c>
      <c r="WOX810" s="1">
        <f t="shared" ref="WOX810:WQD810" si="1025">WOW810-WOV810</f>
        <v>168076.22</v>
      </c>
      <c r="WOY810" s="1">
        <f t="shared" ref="WOY810:WQE810" si="1026">WOV810+WOX810</f>
        <v>268378.75</v>
      </c>
      <c r="WOZ810" s="11">
        <v>15320</v>
      </c>
      <c r="WPA810" s="11">
        <v>60900</v>
      </c>
      <c r="WPB810" s="42" t="s">
        <v>937</v>
      </c>
      <c r="WPC810" s="7"/>
      <c r="WPD810" s="7"/>
      <c r="WPE810" s="7"/>
      <c r="WPF810" s="7"/>
      <c r="WPG810" s="7"/>
      <c r="WPH810" s="1"/>
      <c r="WPI810" s="1"/>
      <c r="WPJ810" s="1"/>
      <c r="WPK810" s="1"/>
      <c r="WPL810" s="7"/>
      <c r="WPM810" s="1"/>
      <c r="WPN810" s="1"/>
      <c r="WPO810" s="1"/>
      <c r="WPP810" s="1"/>
      <c r="WPQ810" s="1"/>
      <c r="WPR810" s="1"/>
      <c r="WPS810" s="1"/>
      <c r="WPT810" s="1"/>
      <c r="WPU810" s="1"/>
      <c r="WPV810" s="1"/>
      <c r="WPW810" s="1"/>
      <c r="WPX810" s="41"/>
      <c r="WPY810" s="1"/>
      <c r="WPZ810" s="1"/>
      <c r="WQA810" s="1"/>
      <c r="WQB810" s="1">
        <v>100302.53</v>
      </c>
      <c r="WQC810" s="41">
        <f>13095.23+544.5+254739.02</f>
        <v>268378.75</v>
      </c>
      <c r="WQD810" s="1">
        <f t="shared" si="1025"/>
        <v>168076.22</v>
      </c>
      <c r="WQE810" s="1">
        <f t="shared" si="1026"/>
        <v>268378.75</v>
      </c>
      <c r="WQF810" s="11">
        <v>15320</v>
      </c>
      <c r="WQG810" s="11">
        <v>60900</v>
      </c>
      <c r="WQH810" s="42" t="s">
        <v>937</v>
      </c>
      <c r="WQI810" s="7"/>
      <c r="WQJ810" s="7"/>
      <c r="WQK810" s="7"/>
      <c r="WQL810" s="7"/>
      <c r="WQM810" s="7"/>
      <c r="WQN810" s="1"/>
      <c r="WQO810" s="1"/>
      <c r="WQP810" s="1"/>
      <c r="WQQ810" s="1"/>
      <c r="WQR810" s="7"/>
      <c r="WQS810" s="1"/>
      <c r="WQT810" s="1"/>
      <c r="WQU810" s="1"/>
      <c r="WQV810" s="1"/>
      <c r="WQW810" s="1"/>
      <c r="WQX810" s="1"/>
      <c r="WQY810" s="1"/>
      <c r="WQZ810" s="1"/>
      <c r="WRA810" s="1"/>
      <c r="WRB810" s="1"/>
      <c r="WRC810" s="1"/>
      <c r="WRD810" s="41"/>
      <c r="WRE810" s="1"/>
      <c r="WRF810" s="1"/>
      <c r="WRG810" s="1"/>
      <c r="WRH810" s="1">
        <v>100302.53</v>
      </c>
      <c r="WRI810" s="41">
        <f>13095.23+544.5+254739.02</f>
        <v>268378.75</v>
      </c>
      <c r="WRJ810" s="1">
        <f t="shared" ref="WRJ810:WSP810" si="1027">WRI810-WRH810</f>
        <v>168076.22</v>
      </c>
      <c r="WRK810" s="1">
        <f t="shared" ref="WRK810:WSQ810" si="1028">WRH810+WRJ810</f>
        <v>268378.75</v>
      </c>
      <c r="WRL810" s="11">
        <v>15320</v>
      </c>
      <c r="WRM810" s="11">
        <v>60900</v>
      </c>
      <c r="WRN810" s="42" t="s">
        <v>937</v>
      </c>
      <c r="WRO810" s="7"/>
      <c r="WRP810" s="7"/>
      <c r="WRQ810" s="7"/>
      <c r="WRR810" s="7"/>
      <c r="WRS810" s="7"/>
      <c r="WRT810" s="1"/>
      <c r="WRU810" s="1"/>
      <c r="WRV810" s="1"/>
      <c r="WRW810" s="1"/>
      <c r="WRX810" s="7"/>
      <c r="WRY810" s="1"/>
      <c r="WRZ810" s="1"/>
      <c r="WSA810" s="1"/>
      <c r="WSB810" s="1"/>
      <c r="WSC810" s="1"/>
      <c r="WSD810" s="1"/>
      <c r="WSE810" s="1"/>
      <c r="WSF810" s="1"/>
      <c r="WSG810" s="1"/>
      <c r="WSH810" s="1"/>
      <c r="WSI810" s="1"/>
      <c r="WSJ810" s="41"/>
      <c r="WSK810" s="1"/>
      <c r="WSL810" s="1"/>
      <c r="WSM810" s="1"/>
      <c r="WSN810" s="1">
        <v>100302.53</v>
      </c>
      <c r="WSO810" s="41">
        <f>13095.23+544.5+254739.02</f>
        <v>268378.75</v>
      </c>
      <c r="WSP810" s="1">
        <f t="shared" si="1027"/>
        <v>168076.22</v>
      </c>
      <c r="WSQ810" s="1">
        <f t="shared" si="1028"/>
        <v>268378.75</v>
      </c>
      <c r="WSR810" s="11">
        <v>15320</v>
      </c>
      <c r="WSS810" s="11">
        <v>60900</v>
      </c>
      <c r="WST810" s="42" t="s">
        <v>937</v>
      </c>
      <c r="WSU810" s="7"/>
      <c r="WSV810" s="7"/>
      <c r="WSW810" s="7"/>
      <c r="WSX810" s="7"/>
      <c r="WSY810" s="7"/>
      <c r="WSZ810" s="1"/>
      <c r="WTA810" s="1"/>
      <c r="WTB810" s="1"/>
      <c r="WTC810" s="1"/>
      <c r="WTD810" s="7"/>
      <c r="WTE810" s="1"/>
      <c r="WTF810" s="1"/>
      <c r="WTG810" s="1"/>
      <c r="WTH810" s="1"/>
      <c r="WTI810" s="1"/>
      <c r="WTJ810" s="1"/>
      <c r="WTK810" s="1"/>
      <c r="WTL810" s="1"/>
      <c r="WTM810" s="1"/>
      <c r="WTN810" s="1"/>
      <c r="WTO810" s="1"/>
      <c r="WTP810" s="41"/>
      <c r="WTQ810" s="1"/>
      <c r="WTR810" s="1"/>
      <c r="WTS810" s="1"/>
      <c r="WTT810" s="1">
        <v>100302.53</v>
      </c>
      <c r="WTU810" s="41">
        <f>13095.23+544.5+254739.02</f>
        <v>268378.75</v>
      </c>
      <c r="WTV810" s="1">
        <f t="shared" ref="WTV810:WVB810" si="1029">WTU810-WTT810</f>
        <v>168076.22</v>
      </c>
      <c r="WTW810" s="1">
        <f t="shared" ref="WTW810:WVC810" si="1030">WTT810+WTV810</f>
        <v>268378.75</v>
      </c>
      <c r="WTX810" s="11">
        <v>15320</v>
      </c>
      <c r="WTY810" s="11">
        <v>60900</v>
      </c>
      <c r="WTZ810" s="42" t="s">
        <v>937</v>
      </c>
      <c r="WUA810" s="7"/>
      <c r="WUB810" s="7"/>
      <c r="WUC810" s="7"/>
      <c r="WUD810" s="7"/>
      <c r="WUE810" s="7"/>
      <c r="WUF810" s="1"/>
      <c r="WUG810" s="1"/>
      <c r="WUH810" s="1"/>
      <c r="WUI810" s="1"/>
      <c r="WUJ810" s="7"/>
      <c r="WUK810" s="1"/>
      <c r="WUL810" s="1"/>
      <c r="WUM810" s="1"/>
      <c r="WUN810" s="1"/>
      <c r="WUO810" s="1"/>
      <c r="WUP810" s="1"/>
      <c r="WUQ810" s="1"/>
      <c r="WUR810" s="1"/>
      <c r="WUS810" s="1"/>
      <c r="WUT810" s="1"/>
      <c r="WUU810" s="1"/>
      <c r="WUV810" s="41"/>
      <c r="WUW810" s="1"/>
      <c r="WUX810" s="1"/>
      <c r="WUY810" s="1"/>
      <c r="WUZ810" s="1">
        <v>100302.53</v>
      </c>
      <c r="WVA810" s="41">
        <f>13095.23+544.5+254739.02</f>
        <v>268378.75</v>
      </c>
      <c r="WVB810" s="1">
        <f t="shared" si="1029"/>
        <v>168076.22</v>
      </c>
      <c r="WVC810" s="1">
        <f t="shared" si="1030"/>
        <v>268378.75</v>
      </c>
      <c r="WVD810" s="11">
        <v>15320</v>
      </c>
      <c r="WVE810" s="11">
        <v>60900</v>
      </c>
      <c r="WVF810" s="42" t="s">
        <v>937</v>
      </c>
      <c r="WVG810" s="7"/>
      <c r="WVH810" s="7"/>
      <c r="WVI810" s="7"/>
      <c r="WVJ810" s="7"/>
      <c r="WVK810" s="7"/>
      <c r="WVL810" s="1"/>
      <c r="WVM810" s="1"/>
      <c r="WVN810" s="1"/>
      <c r="WVO810" s="1"/>
      <c r="WVP810" s="7"/>
      <c r="WVQ810" s="1"/>
      <c r="WVR810" s="1"/>
      <c r="WVS810" s="1"/>
      <c r="WVT810" s="1"/>
      <c r="WVU810" s="1"/>
      <c r="WVV810" s="1"/>
      <c r="WVW810" s="1"/>
      <c r="WVX810" s="1"/>
      <c r="WVY810" s="1"/>
      <c r="WVZ810" s="1"/>
      <c r="WWA810" s="1"/>
      <c r="WWB810" s="41"/>
      <c r="WWC810" s="1"/>
      <c r="WWD810" s="1"/>
      <c r="WWE810" s="1"/>
      <c r="WWF810" s="1">
        <v>100302.53</v>
      </c>
      <c r="WWG810" s="41">
        <f>13095.23+544.5+254739.02</f>
        <v>268378.75</v>
      </c>
      <c r="WWH810" s="1">
        <f t="shared" ref="WWH810:WXN810" si="1031">WWG810-WWF810</f>
        <v>168076.22</v>
      </c>
      <c r="WWI810" s="1">
        <f t="shared" ref="WWI810:WXO810" si="1032">WWF810+WWH810</f>
        <v>268378.75</v>
      </c>
      <c r="WWJ810" s="11">
        <v>15320</v>
      </c>
      <c r="WWK810" s="11">
        <v>60900</v>
      </c>
      <c r="WWL810" s="42" t="s">
        <v>937</v>
      </c>
      <c r="WWM810" s="7"/>
      <c r="WWN810" s="7"/>
      <c r="WWO810" s="7"/>
      <c r="WWP810" s="7"/>
      <c r="WWQ810" s="7"/>
      <c r="WWR810" s="1"/>
      <c r="WWS810" s="1"/>
      <c r="WWT810" s="1"/>
      <c r="WWU810" s="1"/>
      <c r="WWV810" s="7"/>
      <c r="WWW810" s="1"/>
      <c r="WWX810" s="1"/>
      <c r="WWY810" s="1"/>
      <c r="WWZ810" s="1"/>
      <c r="WXA810" s="1"/>
      <c r="WXB810" s="1"/>
      <c r="WXC810" s="1"/>
      <c r="WXD810" s="1"/>
      <c r="WXE810" s="1"/>
      <c r="WXF810" s="1"/>
      <c r="WXG810" s="1"/>
      <c r="WXH810" s="41"/>
      <c r="WXI810" s="1"/>
      <c r="WXJ810" s="1"/>
      <c r="WXK810" s="1"/>
      <c r="WXL810" s="1">
        <v>100302.53</v>
      </c>
      <c r="WXM810" s="41">
        <f>13095.23+544.5+254739.02</f>
        <v>268378.75</v>
      </c>
      <c r="WXN810" s="1">
        <f t="shared" si="1031"/>
        <v>168076.22</v>
      </c>
      <c r="WXO810" s="1">
        <f t="shared" si="1032"/>
        <v>268378.75</v>
      </c>
      <c r="WXP810" s="11">
        <v>15320</v>
      </c>
      <c r="WXQ810" s="11">
        <v>60900</v>
      </c>
      <c r="WXR810" s="42" t="s">
        <v>937</v>
      </c>
      <c r="WXS810" s="7"/>
      <c r="WXT810" s="7"/>
      <c r="WXU810" s="7"/>
      <c r="WXV810" s="7"/>
      <c r="WXW810" s="7"/>
      <c r="WXX810" s="1"/>
      <c r="WXY810" s="1"/>
      <c r="WXZ810" s="1"/>
      <c r="WYA810" s="1"/>
      <c r="WYB810" s="7"/>
      <c r="WYC810" s="1"/>
      <c r="WYD810" s="1"/>
      <c r="WYE810" s="1"/>
      <c r="WYF810" s="1"/>
      <c r="WYG810" s="1"/>
      <c r="WYH810" s="1"/>
      <c r="WYI810" s="1"/>
      <c r="WYJ810" s="1"/>
      <c r="WYK810" s="1"/>
      <c r="WYL810" s="1"/>
      <c r="WYM810" s="1"/>
      <c r="WYN810" s="41"/>
      <c r="WYO810" s="1"/>
      <c r="WYP810" s="1"/>
      <c r="WYQ810" s="1"/>
      <c r="WYR810" s="1">
        <v>100302.53</v>
      </c>
      <c r="WYS810" s="41">
        <f>13095.23+544.5+254739.02</f>
        <v>268378.75</v>
      </c>
      <c r="WYT810" s="1">
        <f t="shared" ref="WYT810:WZZ810" si="1033">WYS810-WYR810</f>
        <v>168076.22</v>
      </c>
      <c r="WYU810" s="1">
        <f t="shared" ref="WYU810:XAA810" si="1034">WYR810+WYT810</f>
        <v>268378.75</v>
      </c>
      <c r="WYV810" s="11">
        <v>15320</v>
      </c>
      <c r="WYW810" s="11">
        <v>60900</v>
      </c>
      <c r="WYX810" s="42" t="s">
        <v>937</v>
      </c>
      <c r="WYY810" s="7"/>
      <c r="WYZ810" s="7"/>
      <c r="WZA810" s="7"/>
      <c r="WZB810" s="7"/>
      <c r="WZC810" s="7"/>
      <c r="WZD810" s="1"/>
      <c r="WZE810" s="1"/>
      <c r="WZF810" s="1"/>
      <c r="WZG810" s="1"/>
      <c r="WZH810" s="7"/>
      <c r="WZI810" s="1"/>
      <c r="WZJ810" s="1"/>
      <c r="WZK810" s="1"/>
      <c r="WZL810" s="1"/>
      <c r="WZM810" s="1"/>
      <c r="WZN810" s="1"/>
      <c r="WZO810" s="1"/>
      <c r="WZP810" s="1"/>
      <c r="WZQ810" s="1"/>
      <c r="WZR810" s="1"/>
      <c r="WZS810" s="1"/>
      <c r="WZT810" s="41"/>
      <c r="WZU810" s="1"/>
      <c r="WZV810" s="1"/>
      <c r="WZW810" s="1"/>
      <c r="WZX810" s="1">
        <v>100302.53</v>
      </c>
      <c r="WZY810" s="41">
        <f>13095.23+544.5+254739.02</f>
        <v>268378.75</v>
      </c>
      <c r="WZZ810" s="1">
        <f t="shared" si="1033"/>
        <v>168076.22</v>
      </c>
      <c r="XAA810" s="1">
        <f t="shared" si="1034"/>
        <v>268378.75</v>
      </c>
      <c r="XAB810" s="11">
        <v>15320</v>
      </c>
      <c r="XAC810" s="11">
        <v>60900</v>
      </c>
      <c r="XAD810" s="42" t="s">
        <v>937</v>
      </c>
      <c r="XAE810" s="7"/>
      <c r="XAF810" s="7"/>
      <c r="XAG810" s="7"/>
      <c r="XAH810" s="7"/>
      <c r="XAI810" s="7"/>
      <c r="XAJ810" s="1"/>
      <c r="XAK810" s="1"/>
      <c r="XAL810" s="1"/>
      <c r="XAM810" s="1"/>
      <c r="XAN810" s="7"/>
      <c r="XAO810" s="1"/>
      <c r="XAP810" s="1"/>
      <c r="XAQ810" s="1"/>
      <c r="XAR810" s="1"/>
      <c r="XAS810" s="1"/>
      <c r="XAT810" s="1"/>
      <c r="XAU810" s="1"/>
      <c r="XAV810" s="1"/>
      <c r="XAW810" s="1"/>
      <c r="XAX810" s="1"/>
      <c r="XAY810" s="1"/>
      <c r="XAZ810" s="41"/>
      <c r="XBA810" s="1"/>
      <c r="XBB810" s="1"/>
      <c r="XBC810" s="1"/>
      <c r="XBD810" s="1">
        <v>100302.53</v>
      </c>
      <c r="XBE810" s="41">
        <f>13095.23+544.5+254739.02</f>
        <v>268378.75</v>
      </c>
      <c r="XBF810" s="1">
        <f t="shared" ref="XBF810:XCL810" si="1035">XBE810-XBD810</f>
        <v>168076.22</v>
      </c>
      <c r="XBG810" s="1">
        <f t="shared" ref="XBG810:XCM810" si="1036">XBD810+XBF810</f>
        <v>268378.75</v>
      </c>
      <c r="XBH810" s="11">
        <v>15320</v>
      </c>
      <c r="XBI810" s="11">
        <v>60900</v>
      </c>
      <c r="XBJ810" s="42" t="s">
        <v>937</v>
      </c>
      <c r="XBK810" s="7"/>
      <c r="XBL810" s="7"/>
      <c r="XBM810" s="7"/>
      <c r="XBN810" s="7"/>
      <c r="XBO810" s="7"/>
      <c r="XBP810" s="1"/>
      <c r="XBQ810" s="1"/>
      <c r="XBR810" s="1"/>
      <c r="XBS810" s="1"/>
      <c r="XBT810" s="7"/>
      <c r="XBU810" s="1"/>
      <c r="XBV810" s="1"/>
      <c r="XBW810" s="1"/>
      <c r="XBX810" s="1"/>
      <c r="XBY810" s="1"/>
      <c r="XBZ810" s="1"/>
      <c r="XCA810" s="1"/>
      <c r="XCB810" s="1"/>
      <c r="XCC810" s="1"/>
      <c r="XCD810" s="1"/>
      <c r="XCE810" s="1"/>
      <c r="XCF810" s="41"/>
      <c r="XCG810" s="1"/>
      <c r="XCH810" s="1"/>
      <c r="XCI810" s="1"/>
      <c r="XCJ810" s="1">
        <v>100302.53</v>
      </c>
      <c r="XCK810" s="41">
        <f>13095.23+544.5+254739.02</f>
        <v>268378.75</v>
      </c>
      <c r="XCL810" s="1">
        <f t="shared" si="1035"/>
        <v>168076.22</v>
      </c>
      <c r="XCM810" s="1">
        <f t="shared" si="1036"/>
        <v>268378.75</v>
      </c>
      <c r="XCN810" s="11">
        <v>15320</v>
      </c>
      <c r="XCO810" s="11">
        <v>60900</v>
      </c>
      <c r="XCP810" s="42" t="s">
        <v>937</v>
      </c>
      <c r="XCQ810" s="7"/>
      <c r="XCR810" s="7"/>
      <c r="XCS810" s="7"/>
      <c r="XCT810" s="7"/>
      <c r="XCU810" s="7"/>
      <c r="XCV810" s="1"/>
      <c r="XCW810" s="1"/>
      <c r="XCX810" s="1"/>
      <c r="XCY810" s="1"/>
      <c r="XCZ810" s="7"/>
      <c r="XDA810" s="1"/>
      <c r="XDB810" s="1"/>
      <c r="XDC810" s="1"/>
      <c r="XDD810" s="1"/>
      <c r="XDE810" s="1"/>
      <c r="XDF810" s="1"/>
      <c r="XDG810" s="1"/>
      <c r="XDH810" s="1"/>
      <c r="XDI810" s="1"/>
      <c r="XDJ810" s="1"/>
      <c r="XDK810" s="1"/>
      <c r="XDL810" s="41"/>
      <c r="XDM810" s="1"/>
      <c r="XDN810" s="1"/>
      <c r="XDO810" s="1"/>
      <c r="XDP810" s="1">
        <v>100302.53</v>
      </c>
      <c r="XDQ810" s="41">
        <f>13095.23+544.5+254739.02</f>
        <v>268378.75</v>
      </c>
      <c r="XDR810" s="1">
        <f t="shared" ref="XDR810:XEX810" si="1037">XDQ810-XDP810</f>
        <v>168076.22</v>
      </c>
      <c r="XDS810" s="1">
        <f t="shared" ref="XDS810:XEY810" si="1038">XDP810+XDR810</f>
        <v>268378.75</v>
      </c>
      <c r="XDT810" s="11">
        <v>15320</v>
      </c>
      <c r="XDU810" s="11">
        <v>60900</v>
      </c>
      <c r="XDV810" s="42" t="s">
        <v>937</v>
      </c>
      <c r="XDW810" s="7"/>
      <c r="XDX810" s="7"/>
      <c r="XDY810" s="7"/>
      <c r="XDZ810" s="7"/>
      <c r="XEA810" s="7"/>
      <c r="XEB810" s="1"/>
      <c r="XEC810" s="1"/>
      <c r="XED810" s="1"/>
      <c r="XEE810" s="1"/>
      <c r="XEF810" s="7"/>
      <c r="XEG810" s="1"/>
      <c r="XEH810" s="1"/>
      <c r="XEI810" s="1"/>
      <c r="XEJ810" s="1"/>
      <c r="XEK810" s="1"/>
      <c r="XEL810" s="1"/>
      <c r="XEM810" s="1"/>
      <c r="XEN810" s="1"/>
      <c r="XEO810" s="1"/>
      <c r="XEP810" s="1"/>
      <c r="XEQ810" s="1"/>
      <c r="XER810" s="41"/>
      <c r="XES810" s="1"/>
      <c r="XET810" s="1"/>
      <c r="XEU810" s="1"/>
      <c r="XEV810" s="1">
        <v>100302.53</v>
      </c>
      <c r="XEW810" s="41">
        <f>13095.23+544.5+254739.02</f>
        <v>268378.75</v>
      </c>
      <c r="XEX810" s="1">
        <f t="shared" si="1037"/>
        <v>168076.22</v>
      </c>
      <c r="XEY810" s="1">
        <f t="shared" si="1038"/>
        <v>268378.75</v>
      </c>
    </row>
    <row r="811" spans="1:16379">
      <c r="A811" s="42">
        <v>17000</v>
      </c>
      <c r="B811" s="11">
        <v>60900</v>
      </c>
      <c r="C811" s="39" t="s">
        <v>890</v>
      </c>
      <c r="D811" s="7"/>
      <c r="E811" s="7"/>
      <c r="F811" s="7"/>
      <c r="G811" s="7"/>
      <c r="H811" s="7"/>
      <c r="I811" s="1"/>
      <c r="J811" s="1"/>
      <c r="K811" s="1"/>
      <c r="L811" s="1"/>
      <c r="N811" s="1"/>
      <c r="O811" s="1"/>
      <c r="T811" s="1"/>
      <c r="V811" s="1"/>
      <c r="W811" s="1"/>
      <c r="Y811" s="41"/>
      <c r="Z811" s="1">
        <v>0</v>
      </c>
      <c r="AA811" s="1">
        <v>238000.37</v>
      </c>
      <c r="AB811" s="1">
        <f>AA811-Z811</f>
        <v>238000.37</v>
      </c>
      <c r="AC811" s="1">
        <f>Z811+AB811</f>
        <v>238000.37</v>
      </c>
      <c r="AD811" s="41">
        <f>1000+300+1500+900+5082+1476+600+22000</f>
        <v>32858</v>
      </c>
      <c r="AE811" s="1">
        <f t="shared" si="527"/>
        <v>-205142.37</v>
      </c>
      <c r="AF811" s="1">
        <f t="shared" si="528"/>
        <v>32858</v>
      </c>
    </row>
    <row r="812" spans="1:16379">
      <c r="A812" s="42">
        <v>17100</v>
      </c>
      <c r="B812" s="11">
        <v>60900</v>
      </c>
      <c r="C812" s="39" t="s">
        <v>787</v>
      </c>
      <c r="D812" s="7"/>
      <c r="E812" s="7"/>
      <c r="F812" s="7"/>
      <c r="G812" s="7"/>
      <c r="H812" s="7"/>
      <c r="I812" s="1"/>
      <c r="J812" s="1"/>
      <c r="K812" s="1"/>
      <c r="L812" s="1"/>
      <c r="M812" s="8"/>
      <c r="N812" s="1"/>
      <c r="O812" s="1"/>
      <c r="P812" s="3"/>
      <c r="R812" s="3"/>
      <c r="S812" s="3"/>
      <c r="T812" s="1"/>
      <c r="V812" s="1"/>
      <c r="W812" s="1">
        <v>0</v>
      </c>
      <c r="X812" s="41">
        <v>41100</v>
      </c>
      <c r="Y812" s="41">
        <f>X812-W812</f>
        <v>41100</v>
      </c>
      <c r="Z812" s="1">
        <f>W812+Y812</f>
        <v>41100</v>
      </c>
      <c r="AA812" s="41">
        <v>60000</v>
      </c>
      <c r="AB812" s="1">
        <f>AA812-Z812</f>
        <v>18900</v>
      </c>
      <c r="AC812" s="1">
        <f>Z812+AB812</f>
        <v>60000</v>
      </c>
      <c r="AD812" s="41">
        <v>10000</v>
      </c>
      <c r="AE812" s="1">
        <f t="shared" si="527"/>
        <v>-50000</v>
      </c>
      <c r="AF812" s="1">
        <f t="shared" si="528"/>
        <v>10000</v>
      </c>
    </row>
    <row r="813" spans="1:16379" s="2" customFormat="1">
      <c r="A813" s="11">
        <v>33400</v>
      </c>
      <c r="B813" s="11">
        <v>61000</v>
      </c>
      <c r="C813" s="39" t="s">
        <v>925</v>
      </c>
      <c r="D813" s="7"/>
      <c r="E813" s="7"/>
      <c r="F813" s="7"/>
      <c r="G813" s="7"/>
      <c r="H813" s="7"/>
      <c r="I813" s="1"/>
      <c r="J813" s="1"/>
      <c r="K813" s="1"/>
      <c r="L813" s="1"/>
      <c r="M813" s="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41"/>
      <c r="Z813" s="1"/>
      <c r="AA813" s="1"/>
      <c r="AB813" s="1"/>
      <c r="AC813" s="1">
        <v>0</v>
      </c>
      <c r="AD813" s="41">
        <v>25000</v>
      </c>
      <c r="AE813" s="1">
        <f t="shared" si="527"/>
        <v>25000</v>
      </c>
      <c r="AF813" s="1">
        <f t="shared" si="528"/>
        <v>25000</v>
      </c>
    </row>
    <row r="814" spans="1:16379">
      <c r="A814" s="11">
        <v>15100</v>
      </c>
      <c r="B814" s="11">
        <v>61900</v>
      </c>
      <c r="C814" s="42" t="s">
        <v>936</v>
      </c>
      <c r="D814" s="7"/>
      <c r="E814" s="7"/>
      <c r="F814" s="7"/>
      <c r="G814" s="7"/>
      <c r="H814" s="7"/>
      <c r="I814" s="1"/>
      <c r="J814" s="1"/>
      <c r="K814" s="1"/>
      <c r="L814" s="1"/>
      <c r="N814" s="1"/>
      <c r="O814" s="1"/>
      <c r="T814" s="1"/>
      <c r="V814" s="1"/>
      <c r="W814" s="1"/>
      <c r="Y814" s="41"/>
      <c r="Z814" s="1"/>
      <c r="AB814" s="1"/>
      <c r="AC814" s="1">
        <v>0</v>
      </c>
      <c r="AD814" s="41">
        <f>23000+23000+20000</f>
        <v>66000</v>
      </c>
      <c r="AE814" s="1">
        <f t="shared" si="527"/>
        <v>66000</v>
      </c>
      <c r="AF814" s="1">
        <f t="shared" si="528"/>
        <v>66000</v>
      </c>
    </row>
    <row r="815" spans="1:16379" s="9" customFormat="1">
      <c r="A815" s="11">
        <v>33600</v>
      </c>
      <c r="B815" s="11">
        <v>61900</v>
      </c>
      <c r="C815" s="42" t="s">
        <v>918</v>
      </c>
      <c r="D815" s="7"/>
      <c r="E815" s="7"/>
      <c r="F815" s="7"/>
      <c r="G815" s="7"/>
      <c r="H815" s="7"/>
      <c r="I815" s="1"/>
      <c r="J815" s="1"/>
      <c r="K815" s="1"/>
      <c r="L815" s="1"/>
      <c r="M815" s="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41"/>
      <c r="Z815" s="1"/>
      <c r="AA815" s="1"/>
      <c r="AB815" s="1"/>
      <c r="AC815" s="1">
        <v>0</v>
      </c>
      <c r="AD815" s="41">
        <f>316461.22+30000</f>
        <v>346461.22</v>
      </c>
      <c r="AE815" s="1">
        <f t="shared" si="527"/>
        <v>346461.22</v>
      </c>
      <c r="AF815" s="1">
        <f t="shared" si="528"/>
        <v>346461.22</v>
      </c>
    </row>
    <row r="816" spans="1:16379" s="9" customFormat="1">
      <c r="A816" s="11">
        <v>33700</v>
      </c>
      <c r="B816" s="11">
        <v>61900</v>
      </c>
      <c r="C816" s="39" t="s">
        <v>952</v>
      </c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41"/>
      <c r="Z816" s="1"/>
      <c r="AA816" s="1"/>
      <c r="AB816" s="1"/>
      <c r="AC816" s="1">
        <v>0</v>
      </c>
      <c r="AD816" s="41">
        <v>68000</v>
      </c>
      <c r="AE816" s="1">
        <f t="shared" si="527"/>
        <v>68000</v>
      </c>
      <c r="AF816" s="1">
        <f t="shared" si="528"/>
        <v>68000</v>
      </c>
    </row>
    <row r="817" spans="1:32" s="9" customFormat="1">
      <c r="A817" s="13">
        <v>43200</v>
      </c>
      <c r="B817" s="11">
        <v>62200</v>
      </c>
      <c r="C817" s="11" t="s">
        <v>480</v>
      </c>
      <c r="D817" s="7">
        <v>10000</v>
      </c>
      <c r="E817" s="7">
        <v>57833.93</v>
      </c>
      <c r="F817" s="7">
        <f>D817-E817</f>
        <v>-47833.93</v>
      </c>
      <c r="G817" s="7">
        <v>47833.93</v>
      </c>
      <c r="H817" s="7">
        <f>D817+G817</f>
        <v>57833.93</v>
      </c>
      <c r="I817" s="17">
        <v>0</v>
      </c>
      <c r="J817" s="1">
        <f>H817-I817</f>
        <v>57833.93</v>
      </c>
      <c r="K817" s="16">
        <v>-57833.93</v>
      </c>
      <c r="L817" s="1">
        <f>H817+K817</f>
        <v>0</v>
      </c>
      <c r="M817" s="8"/>
      <c r="N817" s="1">
        <f>L817+M817</f>
        <v>0</v>
      </c>
      <c r="O817" s="1"/>
      <c r="P817" s="3"/>
      <c r="Q817" s="1">
        <f>N817+P817</f>
        <v>0</v>
      </c>
      <c r="R817" s="3"/>
      <c r="S817" s="3"/>
      <c r="T817" s="1">
        <f>Q817+S817</f>
        <v>0</v>
      </c>
      <c r="U817" s="3"/>
      <c r="V817" s="1">
        <f>U817-T817</f>
        <v>0</v>
      </c>
      <c r="W817" s="1">
        <f>T817+V817</f>
        <v>0</v>
      </c>
      <c r="X817" s="41">
        <v>0</v>
      </c>
      <c r="Y817" s="41">
        <f>X817-W817</f>
        <v>0</v>
      </c>
      <c r="Z817" s="1">
        <f>W817+Y817</f>
        <v>0</v>
      </c>
      <c r="AA817" s="41">
        <v>0</v>
      </c>
      <c r="AB817" s="41">
        <f t="shared" ref="AB817:AB827" si="1039">AA817-Z817</f>
        <v>0</v>
      </c>
      <c r="AC817" s="1">
        <f t="shared" ref="AC817:AC827" si="1040">Z817+AB817</f>
        <v>0</v>
      </c>
      <c r="AD817" s="41">
        <v>0</v>
      </c>
      <c r="AE817" s="1">
        <f t="shared" si="527"/>
        <v>0</v>
      </c>
      <c r="AF817" s="1">
        <f t="shared" si="528"/>
        <v>0</v>
      </c>
    </row>
    <row r="818" spans="1:32" s="69" customFormat="1">
      <c r="A818" s="11">
        <v>13200</v>
      </c>
      <c r="B818" s="11">
        <v>62300</v>
      </c>
      <c r="C818" s="39" t="s">
        <v>691</v>
      </c>
      <c r="D818" s="7"/>
      <c r="E818" s="7"/>
      <c r="F818" s="7"/>
      <c r="G818" s="7"/>
      <c r="H818" s="7"/>
      <c r="I818" s="1"/>
      <c r="J818" s="1"/>
      <c r="K818" s="1"/>
      <c r="L818" s="1"/>
      <c r="M818" s="7"/>
      <c r="N818" s="1"/>
      <c r="O818" s="1"/>
      <c r="P818" s="1"/>
      <c r="Q818" s="1"/>
      <c r="R818" s="1"/>
      <c r="S818" s="1"/>
      <c r="T818" s="1"/>
      <c r="U818" s="1"/>
      <c r="V818" s="1"/>
      <c r="W818" s="1">
        <v>0</v>
      </c>
      <c r="X818" s="1">
        <f>8228+19500+25500+6500+5000+52000-26000-6500</f>
        <v>84228</v>
      </c>
      <c r="Y818" s="41">
        <f>X818-W818</f>
        <v>84228</v>
      </c>
      <c r="Z818" s="1">
        <f>W818+Y818</f>
        <v>84228</v>
      </c>
      <c r="AA818" s="1">
        <v>0</v>
      </c>
      <c r="AB818" s="1">
        <f t="shared" si="1039"/>
        <v>-84228</v>
      </c>
      <c r="AC818" s="1">
        <f t="shared" si="1040"/>
        <v>0</v>
      </c>
      <c r="AD818" s="41">
        <v>6300</v>
      </c>
      <c r="AE818" s="1">
        <f t="shared" si="527"/>
        <v>6300</v>
      </c>
      <c r="AF818" s="1">
        <f t="shared" si="528"/>
        <v>6300</v>
      </c>
    </row>
    <row r="819" spans="1:32" outlineLevel="2">
      <c r="A819" s="11">
        <v>13300</v>
      </c>
      <c r="B819" s="11">
        <v>62300</v>
      </c>
      <c r="C819" s="42" t="s">
        <v>737</v>
      </c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47"/>
      <c r="R819" s="3"/>
      <c r="S819" s="47"/>
      <c r="T819" s="1">
        <v>0</v>
      </c>
      <c r="U819" s="1">
        <f>20000+7000</f>
        <v>27000</v>
      </c>
      <c r="V819" s="1">
        <f>U819-T819</f>
        <v>27000</v>
      </c>
      <c r="W819" s="1">
        <f>T819+V819</f>
        <v>27000</v>
      </c>
      <c r="X819" s="41">
        <v>15000</v>
      </c>
      <c r="Y819" s="41">
        <f>X819-W819</f>
        <v>-12000</v>
      </c>
      <c r="Z819" s="1">
        <f>W819+Y819</f>
        <v>15000</v>
      </c>
      <c r="AA819" s="41">
        <v>0</v>
      </c>
      <c r="AB819" s="41">
        <f t="shared" si="1039"/>
        <v>-15000</v>
      </c>
      <c r="AC819" s="1">
        <f t="shared" si="1040"/>
        <v>0</v>
      </c>
      <c r="AD819" s="41">
        <v>0</v>
      </c>
      <c r="AE819" s="1">
        <f t="shared" si="527"/>
        <v>0</v>
      </c>
      <c r="AF819" s="1">
        <f t="shared" si="528"/>
        <v>0</v>
      </c>
    </row>
    <row r="820" spans="1:32">
      <c r="A820" s="11">
        <v>15100</v>
      </c>
      <c r="B820" s="11">
        <v>62300</v>
      </c>
      <c r="C820" s="42" t="s">
        <v>817</v>
      </c>
      <c r="D820" s="7"/>
      <c r="E820" s="7"/>
      <c r="F820" s="7"/>
      <c r="G820" s="7"/>
      <c r="H820" s="7"/>
      <c r="I820" s="1"/>
      <c r="J820" s="1"/>
      <c r="K820" s="1"/>
      <c r="L820" s="1"/>
      <c r="N820" s="1"/>
      <c r="O820" s="1"/>
      <c r="T820" s="1"/>
      <c r="V820" s="1"/>
      <c r="W820" s="1">
        <v>0</v>
      </c>
      <c r="X820" s="1">
        <v>8000</v>
      </c>
      <c r="Y820" s="41">
        <f>X820-W820</f>
        <v>8000</v>
      </c>
      <c r="Z820" s="1">
        <f>W820+Y820</f>
        <v>8000</v>
      </c>
      <c r="AA820" s="1">
        <v>3700</v>
      </c>
      <c r="AB820" s="1">
        <f t="shared" si="1039"/>
        <v>-4300</v>
      </c>
      <c r="AC820" s="1">
        <f t="shared" si="1040"/>
        <v>3700</v>
      </c>
      <c r="AD820" s="41">
        <v>0</v>
      </c>
      <c r="AE820" s="1">
        <f t="shared" si="527"/>
        <v>-3700</v>
      </c>
      <c r="AF820" s="1">
        <f t="shared" si="528"/>
        <v>0</v>
      </c>
    </row>
    <row r="821" spans="1:32" s="69" customFormat="1">
      <c r="A821" s="42">
        <v>16400</v>
      </c>
      <c r="B821" s="11">
        <v>62300</v>
      </c>
      <c r="C821" s="39" t="s">
        <v>889</v>
      </c>
      <c r="D821" s="7"/>
      <c r="E821" s="7"/>
      <c r="F821" s="7"/>
      <c r="G821" s="7"/>
      <c r="H821" s="7"/>
      <c r="I821" s="1"/>
      <c r="J821" s="1"/>
      <c r="K821" s="1"/>
      <c r="L821" s="1"/>
      <c r="M821" s="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41"/>
      <c r="Z821" s="1">
        <v>0</v>
      </c>
      <c r="AA821" s="1">
        <v>6600</v>
      </c>
      <c r="AB821" s="1">
        <f t="shared" si="1039"/>
        <v>6600</v>
      </c>
      <c r="AC821" s="1">
        <f t="shared" si="1040"/>
        <v>6600</v>
      </c>
      <c r="AD821" s="41">
        <v>16000</v>
      </c>
      <c r="AE821" s="1">
        <f t="shared" si="527"/>
        <v>9400</v>
      </c>
      <c r="AF821" s="1">
        <f t="shared" si="528"/>
        <v>16000</v>
      </c>
    </row>
    <row r="822" spans="1:32">
      <c r="A822" s="42">
        <v>23113</v>
      </c>
      <c r="B822" s="11">
        <v>62300</v>
      </c>
      <c r="C822" s="11" t="s">
        <v>603</v>
      </c>
      <c r="D822" s="7"/>
      <c r="E822" s="7"/>
      <c r="F822" s="7"/>
      <c r="G822" s="7"/>
      <c r="H822" s="7">
        <v>0</v>
      </c>
      <c r="I822" s="7">
        <v>150000</v>
      </c>
      <c r="J822" s="7">
        <f>H822-I822</f>
        <v>-150000</v>
      </c>
      <c r="K822" s="7">
        <v>150000</v>
      </c>
      <c r="L822" s="7">
        <v>150000</v>
      </c>
      <c r="M822" s="7">
        <v>-150000</v>
      </c>
      <c r="N822" s="7">
        <f>L822+M822</f>
        <v>0</v>
      </c>
      <c r="O822" s="7"/>
      <c r="P822" s="7"/>
      <c r="Q822" s="1">
        <f>N822+P822</f>
        <v>0</v>
      </c>
      <c r="R822" s="7"/>
      <c r="S822" s="7"/>
      <c r="T822" s="1">
        <f>Q822+S822</f>
        <v>0</v>
      </c>
      <c r="U822" s="7">
        <v>0</v>
      </c>
      <c r="V822" s="1">
        <f>U822-T822</f>
        <v>0</v>
      </c>
      <c r="W822" s="1">
        <f>T822+V822</f>
        <v>0</v>
      </c>
      <c r="X822" s="7">
        <v>30000</v>
      </c>
      <c r="Y822" s="41">
        <f>X822-W822</f>
        <v>30000</v>
      </c>
      <c r="Z822" s="1">
        <f>W822+Y822</f>
        <v>30000</v>
      </c>
      <c r="AA822" s="7">
        <v>0</v>
      </c>
      <c r="AB822" s="41">
        <f t="shared" si="1039"/>
        <v>-30000</v>
      </c>
      <c r="AC822" s="1">
        <f t="shared" si="1040"/>
        <v>0</v>
      </c>
      <c r="AD822" s="47">
        <v>80000</v>
      </c>
      <c r="AE822" s="1">
        <f t="shared" si="527"/>
        <v>80000</v>
      </c>
      <c r="AF822" s="1">
        <f t="shared" si="528"/>
        <v>80000</v>
      </c>
    </row>
    <row r="823" spans="1:32">
      <c r="A823" s="11">
        <v>33220</v>
      </c>
      <c r="B823" s="11">
        <v>62300</v>
      </c>
      <c r="C823" s="39" t="s">
        <v>951</v>
      </c>
      <c r="D823" s="7"/>
      <c r="E823" s="7"/>
      <c r="F823" s="7"/>
      <c r="G823" s="7"/>
      <c r="H823" s="7"/>
      <c r="I823" s="1"/>
      <c r="J823" s="1"/>
      <c r="K823" s="1"/>
      <c r="L823" s="1"/>
      <c r="N823" s="1"/>
      <c r="O823" s="1"/>
      <c r="T823" s="1"/>
      <c r="V823" s="1"/>
      <c r="W823" s="1"/>
      <c r="Y823" s="41"/>
      <c r="Z823" s="1"/>
      <c r="AB823" s="41"/>
      <c r="AC823" s="1">
        <v>0</v>
      </c>
      <c r="AD823" s="41">
        <v>32150</v>
      </c>
      <c r="AE823" s="1">
        <f t="shared" si="527"/>
        <v>32150</v>
      </c>
      <c r="AF823" s="1">
        <f t="shared" si="528"/>
        <v>32150</v>
      </c>
    </row>
    <row r="824" spans="1:32" s="2" customFormat="1">
      <c r="A824" s="11">
        <v>33400</v>
      </c>
      <c r="B824" s="11">
        <v>62300</v>
      </c>
      <c r="C824" s="39" t="s">
        <v>809</v>
      </c>
      <c r="D824" s="7"/>
      <c r="E824" s="7"/>
      <c r="F824" s="7"/>
      <c r="G824" s="7"/>
      <c r="H824" s="7"/>
      <c r="I824" s="1"/>
      <c r="J824" s="1"/>
      <c r="K824" s="1"/>
      <c r="L824" s="1"/>
      <c r="M824" s="10"/>
      <c r="N824" s="1"/>
      <c r="O824" s="1"/>
      <c r="P824" s="1"/>
      <c r="Q824" s="1"/>
      <c r="R824" s="1"/>
      <c r="S824" s="1"/>
      <c r="T824" s="1"/>
      <c r="U824" s="1"/>
      <c r="V824" s="1"/>
      <c r="W824" s="1">
        <v>0</v>
      </c>
      <c r="X824" s="1">
        <v>40000</v>
      </c>
      <c r="Y824" s="41">
        <f>X824-W824</f>
        <v>40000</v>
      </c>
      <c r="Z824" s="1">
        <f>W824+Y824</f>
        <v>40000</v>
      </c>
      <c r="AA824" s="1">
        <v>27000</v>
      </c>
      <c r="AB824" s="1">
        <f t="shared" si="1039"/>
        <v>-13000</v>
      </c>
      <c r="AC824" s="1">
        <f t="shared" si="1040"/>
        <v>27000</v>
      </c>
      <c r="AD824" s="41">
        <v>0</v>
      </c>
      <c r="AE824" s="1">
        <f t="shared" si="527"/>
        <v>-27000</v>
      </c>
      <c r="AF824" s="1">
        <f t="shared" si="528"/>
        <v>0</v>
      </c>
    </row>
    <row r="825" spans="1:32">
      <c r="A825" s="39">
        <v>33600</v>
      </c>
      <c r="B825" s="11">
        <v>62300</v>
      </c>
      <c r="C825" s="39" t="s">
        <v>814</v>
      </c>
      <c r="D825" s="7"/>
      <c r="E825" s="7"/>
      <c r="F825" s="7"/>
      <c r="G825" s="7"/>
      <c r="H825" s="7"/>
      <c r="I825" s="1"/>
      <c r="J825" s="1"/>
      <c r="K825" s="1"/>
      <c r="L825" s="1"/>
      <c r="N825" s="1"/>
      <c r="O825" s="1"/>
      <c r="T825" s="1"/>
      <c r="V825" s="1"/>
      <c r="W825" s="1">
        <v>0</v>
      </c>
      <c r="X825" s="1">
        <v>5000</v>
      </c>
      <c r="Y825" s="41">
        <f>X825-W825</f>
        <v>5000</v>
      </c>
      <c r="Z825" s="1">
        <f>W825+Y825</f>
        <v>5000</v>
      </c>
      <c r="AA825" s="1">
        <f>20000+60000</f>
        <v>80000</v>
      </c>
      <c r="AB825" s="1">
        <f t="shared" si="1039"/>
        <v>75000</v>
      </c>
      <c r="AC825" s="1">
        <f t="shared" si="1040"/>
        <v>80000</v>
      </c>
      <c r="AD825" s="41">
        <f>46000+7000</f>
        <v>53000</v>
      </c>
      <c r="AE825" s="1">
        <f t="shared" si="527"/>
        <v>-27000</v>
      </c>
      <c r="AF825" s="1">
        <f t="shared" si="528"/>
        <v>53000</v>
      </c>
    </row>
    <row r="826" spans="1:32">
      <c r="A826" s="11">
        <v>33710</v>
      </c>
      <c r="B826" s="11">
        <v>62300</v>
      </c>
      <c r="C826" s="11" t="s">
        <v>950</v>
      </c>
      <c r="D826" s="7"/>
      <c r="E826" s="7"/>
      <c r="F826" s="7"/>
      <c r="G826" s="7"/>
      <c r="H826" s="7"/>
      <c r="I826" s="7"/>
      <c r="J826" s="7"/>
      <c r="K826" s="7"/>
      <c r="L826" s="7"/>
      <c r="N826" s="7"/>
      <c r="O826" s="7"/>
      <c r="T826" s="1"/>
      <c r="V826" s="1"/>
      <c r="W826" s="1"/>
      <c r="Y826" s="41"/>
      <c r="Z826" s="1"/>
      <c r="AB826" s="1"/>
      <c r="AC826" s="1">
        <v>0</v>
      </c>
      <c r="AD826" s="41">
        <v>2305</v>
      </c>
      <c r="AE826" s="1">
        <f t="shared" si="527"/>
        <v>2305</v>
      </c>
      <c r="AF826" s="1">
        <f t="shared" si="528"/>
        <v>2305</v>
      </c>
    </row>
    <row r="827" spans="1:32" s="2" customFormat="1">
      <c r="A827" s="11">
        <v>34000</v>
      </c>
      <c r="B827" s="11">
        <v>62300</v>
      </c>
      <c r="C827" s="39" t="s">
        <v>858</v>
      </c>
      <c r="D827" s="7"/>
      <c r="E827" s="7"/>
      <c r="F827" s="7"/>
      <c r="G827" s="7"/>
      <c r="H827" s="7"/>
      <c r="I827" s="1"/>
      <c r="J827" s="1"/>
      <c r="K827" s="1"/>
      <c r="L827" s="1"/>
      <c r="M827" s="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41"/>
      <c r="Z827" s="1">
        <v>0</v>
      </c>
      <c r="AA827" s="1">
        <v>40000</v>
      </c>
      <c r="AB827" s="1">
        <f t="shared" si="1039"/>
        <v>40000</v>
      </c>
      <c r="AC827" s="1">
        <f t="shared" si="1040"/>
        <v>40000</v>
      </c>
      <c r="AD827" s="41">
        <v>105000</v>
      </c>
      <c r="AE827" s="1">
        <f t="shared" si="527"/>
        <v>65000</v>
      </c>
      <c r="AF827" s="1">
        <f t="shared" si="528"/>
        <v>105000</v>
      </c>
    </row>
    <row r="828" spans="1:32">
      <c r="A828" s="11">
        <v>92000</v>
      </c>
      <c r="B828" s="11">
        <v>62300</v>
      </c>
      <c r="C828" s="39" t="s">
        <v>919</v>
      </c>
      <c r="D828" s="7"/>
      <c r="E828" s="7"/>
      <c r="F828" s="7"/>
      <c r="G828" s="7"/>
      <c r="H828" s="7"/>
      <c r="I828" s="1"/>
      <c r="J828" s="1"/>
      <c r="K828" s="1"/>
      <c r="L828" s="1"/>
      <c r="N828" s="1"/>
      <c r="O828" s="1"/>
      <c r="T828" s="1"/>
      <c r="V828" s="1"/>
      <c r="W828" s="1"/>
      <c r="Y828" s="41"/>
      <c r="Z828" s="1"/>
      <c r="AB828" s="1"/>
      <c r="AC828" s="1">
        <v>0</v>
      </c>
      <c r="AD828" s="41">
        <v>60000</v>
      </c>
      <c r="AE828" s="1">
        <f t="shared" si="527"/>
        <v>60000</v>
      </c>
      <c r="AF828" s="1">
        <f t="shared" si="528"/>
        <v>60000</v>
      </c>
    </row>
    <row r="829" spans="1:32">
      <c r="A829" s="11">
        <v>13200</v>
      </c>
      <c r="B829" s="11">
        <v>62400</v>
      </c>
      <c r="C829" s="42" t="s">
        <v>827</v>
      </c>
      <c r="D829" s="7"/>
      <c r="E829" s="7"/>
      <c r="F829" s="7"/>
      <c r="G829" s="7"/>
      <c r="H829" s="7"/>
      <c r="I829" s="1"/>
      <c r="J829" s="1"/>
      <c r="K829" s="1"/>
      <c r="L829" s="1"/>
      <c r="N829" s="1"/>
      <c r="O829" s="1"/>
      <c r="T829" s="1"/>
      <c r="V829" s="1"/>
      <c r="W829" s="1"/>
      <c r="Y829" s="41"/>
      <c r="Z829" s="1">
        <v>0</v>
      </c>
      <c r="AA829" s="1">
        <v>38000</v>
      </c>
      <c r="AB829" s="1">
        <f>AA829-Z829</f>
        <v>38000</v>
      </c>
      <c r="AC829" s="1">
        <f>Z829+AB829</f>
        <v>38000</v>
      </c>
      <c r="AD829" s="41">
        <v>38000</v>
      </c>
      <c r="AE829" s="1">
        <f t="shared" si="527"/>
        <v>0</v>
      </c>
      <c r="AF829" s="1">
        <f t="shared" si="528"/>
        <v>38000</v>
      </c>
    </row>
    <row r="830" spans="1:32">
      <c r="A830" s="11">
        <v>15100</v>
      </c>
      <c r="B830" s="11">
        <v>62400</v>
      </c>
      <c r="C830" s="42" t="s">
        <v>827</v>
      </c>
      <c r="D830" s="7"/>
      <c r="E830" s="7"/>
      <c r="F830" s="7"/>
      <c r="G830" s="7"/>
      <c r="H830" s="7"/>
      <c r="I830" s="1"/>
      <c r="J830" s="1"/>
      <c r="K830" s="1"/>
      <c r="L830" s="1"/>
      <c r="N830" s="1"/>
      <c r="O830" s="1"/>
      <c r="T830" s="1"/>
      <c r="V830" s="1"/>
      <c r="W830" s="1"/>
      <c r="Y830" s="41"/>
      <c r="Z830" s="1">
        <v>0</v>
      </c>
      <c r="AA830" s="1">
        <v>11117</v>
      </c>
      <c r="AB830" s="1">
        <f>AA830-Z830</f>
        <v>11117</v>
      </c>
      <c r="AC830" s="1">
        <f>Z830+AB830</f>
        <v>11117</v>
      </c>
      <c r="AD830" s="41">
        <v>0</v>
      </c>
      <c r="AE830" s="1">
        <f t="shared" si="527"/>
        <v>-11117</v>
      </c>
      <c r="AF830" s="1">
        <f t="shared" si="528"/>
        <v>0</v>
      </c>
    </row>
    <row r="831" spans="1:32" s="2" customFormat="1">
      <c r="A831" s="42">
        <v>17100</v>
      </c>
      <c r="B831" s="11">
        <v>62400</v>
      </c>
      <c r="C831" s="39" t="s">
        <v>827</v>
      </c>
      <c r="D831" s="7"/>
      <c r="E831" s="7"/>
      <c r="F831" s="7"/>
      <c r="G831" s="7"/>
      <c r="H831" s="7"/>
      <c r="I831" s="1"/>
      <c r="J831" s="1"/>
      <c r="K831" s="1"/>
      <c r="L831" s="1"/>
      <c r="M831" s="8"/>
      <c r="N831" s="1"/>
      <c r="O831" s="1"/>
      <c r="P831" s="3"/>
      <c r="Q831" s="1"/>
      <c r="R831" s="3"/>
      <c r="S831" s="3"/>
      <c r="T831" s="1"/>
      <c r="U831" s="1"/>
      <c r="V831" s="1"/>
      <c r="W831" s="1"/>
      <c r="X831" s="41"/>
      <c r="Y831" s="41"/>
      <c r="Z831" s="1">
        <v>0</v>
      </c>
      <c r="AA831" s="41">
        <f>5203+5203</f>
        <v>10406</v>
      </c>
      <c r="AB831" s="1">
        <f>AA831-Z831</f>
        <v>10406</v>
      </c>
      <c r="AC831" s="1">
        <f>Z831+AB831</f>
        <v>10406</v>
      </c>
      <c r="AD831" s="41">
        <v>0</v>
      </c>
      <c r="AE831" s="1">
        <f t="shared" si="527"/>
        <v>-10406</v>
      </c>
      <c r="AF831" s="1">
        <f t="shared" si="528"/>
        <v>0</v>
      </c>
    </row>
    <row r="832" spans="1:32" outlineLevel="2">
      <c r="A832" s="11">
        <v>45900</v>
      </c>
      <c r="B832" s="11">
        <v>62400</v>
      </c>
      <c r="C832" s="39" t="s">
        <v>848</v>
      </c>
      <c r="D832" s="7"/>
      <c r="E832" s="7"/>
      <c r="F832" s="7"/>
      <c r="G832" s="7"/>
      <c r="H832" s="7"/>
      <c r="I832" s="1"/>
      <c r="J832" s="1"/>
      <c r="K832" s="1"/>
      <c r="L832" s="1"/>
      <c r="N832" s="1"/>
      <c r="O832" s="1"/>
      <c r="T832" s="1"/>
      <c r="V832" s="1"/>
      <c r="W832" s="1"/>
      <c r="Y832" s="41"/>
      <c r="Z832" s="1">
        <v>0</v>
      </c>
      <c r="AA832" s="1">
        <f>50700+12540</f>
        <v>63240</v>
      </c>
      <c r="AB832" s="1">
        <f>AA832-Z832</f>
        <v>63240</v>
      </c>
      <c r="AC832" s="1">
        <f>Z832+AB832</f>
        <v>63240</v>
      </c>
      <c r="AD832" s="41">
        <v>47070</v>
      </c>
      <c r="AE832" s="1">
        <f t="shared" si="527"/>
        <v>-16170</v>
      </c>
      <c r="AF832" s="1">
        <f t="shared" si="528"/>
        <v>47070</v>
      </c>
    </row>
    <row r="833" spans="1:32">
      <c r="A833" s="11">
        <v>15100</v>
      </c>
      <c r="B833" s="11">
        <v>62500</v>
      </c>
      <c r="C833" s="42" t="s">
        <v>932</v>
      </c>
      <c r="D833" s="7"/>
      <c r="E833" s="7"/>
      <c r="F833" s="7"/>
      <c r="G833" s="7"/>
      <c r="H833" s="7"/>
      <c r="I833" s="1"/>
      <c r="J833" s="1"/>
      <c r="K833" s="1"/>
      <c r="L833" s="1"/>
      <c r="N833" s="1"/>
      <c r="O833" s="1"/>
      <c r="T833" s="1"/>
      <c r="V833" s="1"/>
      <c r="W833" s="1"/>
      <c r="Y833" s="41"/>
      <c r="Z833" s="1"/>
      <c r="AB833" s="1"/>
      <c r="AC833" s="1">
        <v>0</v>
      </c>
      <c r="AD833" s="41">
        <v>5000</v>
      </c>
      <c r="AE833" s="1">
        <f t="shared" si="527"/>
        <v>5000</v>
      </c>
      <c r="AF833" s="1">
        <f t="shared" si="528"/>
        <v>5000</v>
      </c>
    </row>
    <row r="834" spans="1:32" s="9" customFormat="1">
      <c r="A834" s="42">
        <v>17000</v>
      </c>
      <c r="B834" s="11">
        <v>62500</v>
      </c>
      <c r="C834" s="39" t="s">
        <v>916</v>
      </c>
      <c r="D834" s="7"/>
      <c r="E834" s="7"/>
      <c r="F834" s="7"/>
      <c r="G834" s="7"/>
      <c r="H834" s="7"/>
      <c r="I834" s="1"/>
      <c r="J834" s="1"/>
      <c r="K834" s="1"/>
      <c r="L834" s="1"/>
      <c r="M834" s="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41"/>
      <c r="Z834" s="1"/>
      <c r="AA834" s="1"/>
      <c r="AB834" s="1"/>
      <c r="AC834" s="1">
        <v>0</v>
      </c>
      <c r="AD834" s="41">
        <v>650</v>
      </c>
      <c r="AE834" s="1">
        <f t="shared" si="527"/>
        <v>650</v>
      </c>
      <c r="AF834" s="1">
        <f t="shared" si="528"/>
        <v>650</v>
      </c>
    </row>
    <row r="835" spans="1:32" s="2" customFormat="1">
      <c r="A835" s="13">
        <v>23110</v>
      </c>
      <c r="B835" s="11">
        <v>62500</v>
      </c>
      <c r="C835" s="39" t="s">
        <v>736</v>
      </c>
      <c r="D835" s="8"/>
      <c r="E835" s="8"/>
      <c r="F835" s="8"/>
      <c r="G835" s="8"/>
      <c r="H835" s="8"/>
      <c r="I835" s="8"/>
      <c r="J835" s="8"/>
      <c r="K835" s="8"/>
      <c r="L835" s="10"/>
      <c r="M835" s="10"/>
      <c r="N835" s="7"/>
      <c r="O835" s="7"/>
      <c r="P835" s="3"/>
      <c r="Q835" s="1"/>
      <c r="R835" s="3"/>
      <c r="S835" s="3"/>
      <c r="T835" s="1"/>
      <c r="U835" s="1"/>
      <c r="V835" s="1"/>
      <c r="W835" s="1"/>
      <c r="X835" s="41"/>
      <c r="Y835" s="41"/>
      <c r="Z835" s="1"/>
      <c r="AA835" s="41"/>
      <c r="AB835" s="41"/>
      <c r="AC835" s="1">
        <v>0</v>
      </c>
      <c r="AD835" s="41">
        <v>10000</v>
      </c>
      <c r="AE835" s="1">
        <f t="shared" si="527"/>
        <v>10000</v>
      </c>
      <c r="AF835" s="1">
        <f t="shared" si="528"/>
        <v>10000</v>
      </c>
    </row>
    <row r="836" spans="1:32">
      <c r="A836" s="13">
        <v>23111</v>
      </c>
      <c r="B836" s="11">
        <v>62500</v>
      </c>
      <c r="C836" s="39" t="s">
        <v>736</v>
      </c>
      <c r="D836" s="7"/>
      <c r="E836" s="7"/>
      <c r="F836" s="7"/>
      <c r="G836" s="7"/>
      <c r="H836" s="7"/>
      <c r="I836" s="7"/>
      <c r="J836" s="7"/>
      <c r="K836" s="7"/>
      <c r="L836" s="7"/>
      <c r="M836" s="10"/>
      <c r="N836" s="7"/>
      <c r="O836" s="7"/>
      <c r="T836" s="1">
        <v>0</v>
      </c>
      <c r="U836" s="1">
        <v>4000</v>
      </c>
      <c r="V836" s="1">
        <f>U836-T836</f>
        <v>4000</v>
      </c>
      <c r="W836" s="1">
        <f>T836+V836</f>
        <v>4000</v>
      </c>
      <c r="X836" s="1">
        <v>10000</v>
      </c>
      <c r="Y836" s="41">
        <f>X836-W836</f>
        <v>6000</v>
      </c>
      <c r="Z836" s="1">
        <f>W836+Y836</f>
        <v>10000</v>
      </c>
      <c r="AA836" s="1">
        <v>10000</v>
      </c>
      <c r="AB836" s="41">
        <f>AA836-Z836</f>
        <v>0</v>
      </c>
      <c r="AC836" s="1">
        <f>Z836+AB836</f>
        <v>10000</v>
      </c>
      <c r="AD836" s="41">
        <v>0</v>
      </c>
      <c r="AE836" s="1">
        <f t="shared" si="527"/>
        <v>-10000</v>
      </c>
      <c r="AF836" s="1">
        <f t="shared" si="528"/>
        <v>0</v>
      </c>
    </row>
    <row r="837" spans="1:32" s="2" customFormat="1">
      <c r="A837" s="11">
        <v>33220</v>
      </c>
      <c r="B837" s="11">
        <v>62500</v>
      </c>
      <c r="C837" s="11" t="s">
        <v>923</v>
      </c>
      <c r="D837" s="7"/>
      <c r="E837" s="7"/>
      <c r="F837" s="7"/>
      <c r="G837" s="7"/>
      <c r="H837" s="7"/>
      <c r="I837" s="1"/>
      <c r="J837" s="1"/>
      <c r="K837" s="1"/>
      <c r="L837" s="1"/>
      <c r="M837" s="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41"/>
      <c r="Z837" s="1"/>
      <c r="AA837" s="1"/>
      <c r="AB837" s="41"/>
      <c r="AC837" s="1">
        <v>0</v>
      </c>
      <c r="AD837" s="41">
        <v>30000</v>
      </c>
      <c r="AE837" s="1">
        <f t="shared" si="527"/>
        <v>30000</v>
      </c>
      <c r="AF837" s="1">
        <f t="shared" si="528"/>
        <v>30000</v>
      </c>
    </row>
    <row r="838" spans="1:32" outlineLevel="2">
      <c r="A838" s="11">
        <v>33710</v>
      </c>
      <c r="B838" s="11">
        <v>62500</v>
      </c>
      <c r="C838" s="39" t="s">
        <v>857</v>
      </c>
      <c r="D838" s="7"/>
      <c r="E838" s="7"/>
      <c r="F838" s="7"/>
      <c r="G838" s="7"/>
      <c r="H838" s="7"/>
      <c r="I838" s="7"/>
      <c r="J838" s="7"/>
      <c r="K838" s="7"/>
      <c r="L838" s="7"/>
      <c r="N838" s="7"/>
      <c r="O838" s="7"/>
      <c r="T838" s="1"/>
      <c r="V838" s="1"/>
      <c r="W838" s="1"/>
      <c r="Y838" s="41"/>
      <c r="Z838" s="1">
        <v>0</v>
      </c>
      <c r="AA838" s="1">
        <v>12000</v>
      </c>
      <c r="AB838" s="1">
        <f>AA838-Z838</f>
        <v>12000</v>
      </c>
      <c r="AC838" s="1">
        <f>Z838+AB838</f>
        <v>12000</v>
      </c>
      <c r="AD838" s="41">
        <v>0</v>
      </c>
      <c r="AE838" s="1">
        <f t="shared" si="527"/>
        <v>-12000</v>
      </c>
      <c r="AF838" s="1">
        <f t="shared" si="528"/>
        <v>0</v>
      </c>
    </row>
    <row r="839" spans="1:32">
      <c r="A839" s="42">
        <v>43200</v>
      </c>
      <c r="B839" s="11">
        <v>62500</v>
      </c>
      <c r="C839" s="11" t="s">
        <v>916</v>
      </c>
      <c r="D839" s="7"/>
      <c r="E839" s="7"/>
      <c r="F839" s="7"/>
      <c r="G839" s="7"/>
      <c r="H839" s="7"/>
      <c r="I839" s="17"/>
      <c r="J839" s="1"/>
      <c r="K839" s="16"/>
      <c r="L839" s="1"/>
      <c r="M839" s="8"/>
      <c r="N839" s="1"/>
      <c r="O839" s="1"/>
      <c r="P839" s="3"/>
      <c r="R839" s="3"/>
      <c r="S839" s="3"/>
      <c r="T839" s="1"/>
      <c r="U839" s="3"/>
      <c r="V839" s="1"/>
      <c r="W839" s="1"/>
      <c r="X839" s="41"/>
      <c r="Y839" s="41"/>
      <c r="Z839" s="1"/>
      <c r="AA839" s="41"/>
      <c r="AB839" s="41"/>
      <c r="AC839" s="1">
        <v>0</v>
      </c>
      <c r="AD839" s="41">
        <v>6500</v>
      </c>
      <c r="AE839" s="1">
        <f t="shared" si="527"/>
        <v>6500</v>
      </c>
      <c r="AF839" s="1">
        <f t="shared" si="528"/>
        <v>6500</v>
      </c>
    </row>
    <row r="840" spans="1:32" s="9" customFormat="1">
      <c r="A840" s="11">
        <v>92000</v>
      </c>
      <c r="B840" s="11">
        <v>62500</v>
      </c>
      <c r="C840" s="39" t="s">
        <v>886</v>
      </c>
      <c r="D840" s="7"/>
      <c r="E840" s="7"/>
      <c r="F840" s="7"/>
      <c r="G840" s="7"/>
      <c r="H840" s="7"/>
      <c r="I840" s="1"/>
      <c r="J840" s="1"/>
      <c r="K840" s="1"/>
      <c r="L840" s="1"/>
      <c r="M840" s="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41"/>
      <c r="Z840" s="1">
        <v>0</v>
      </c>
      <c r="AA840" s="1">
        <v>15000</v>
      </c>
      <c r="AB840" s="1">
        <f>AA840-Z840</f>
        <v>15000</v>
      </c>
      <c r="AC840" s="1">
        <f>Z840+AB840</f>
        <v>15000</v>
      </c>
      <c r="AD840" s="41">
        <v>0</v>
      </c>
      <c r="AE840" s="1">
        <f t="shared" si="527"/>
        <v>-15000</v>
      </c>
      <c r="AF840" s="1">
        <f t="shared" si="528"/>
        <v>0</v>
      </c>
    </row>
    <row r="841" spans="1:32">
      <c r="A841" s="11">
        <v>92010</v>
      </c>
      <c r="B841" s="11">
        <v>62500</v>
      </c>
      <c r="C841" s="11" t="s">
        <v>922</v>
      </c>
      <c r="D841" s="7"/>
      <c r="E841" s="7"/>
      <c r="F841" s="7"/>
      <c r="G841" s="7"/>
      <c r="H841" s="7"/>
      <c r="I841" s="8"/>
      <c r="J841" s="7"/>
      <c r="K841" s="8"/>
      <c r="L841" s="7"/>
      <c r="N841" s="7"/>
      <c r="O841" s="7"/>
      <c r="T841" s="1"/>
      <c r="V841" s="1"/>
      <c r="W841" s="1"/>
      <c r="Y841" s="41"/>
      <c r="Z841" s="1"/>
      <c r="AB841" s="1"/>
      <c r="AC841" s="1">
        <v>0</v>
      </c>
      <c r="AD841" s="41">
        <v>20000</v>
      </c>
      <c r="AE841" s="1">
        <f t="shared" si="527"/>
        <v>20000</v>
      </c>
      <c r="AF841" s="1">
        <f t="shared" si="528"/>
        <v>20000</v>
      </c>
    </row>
    <row r="842" spans="1:32" s="11" customFormat="1">
      <c r="A842" s="11">
        <v>92600</v>
      </c>
      <c r="B842" s="11">
        <v>62600</v>
      </c>
      <c r="C842" s="39" t="s">
        <v>789</v>
      </c>
      <c r="D842" s="7"/>
      <c r="E842" s="7"/>
      <c r="F842" s="7"/>
      <c r="G842" s="7"/>
      <c r="H842" s="7"/>
      <c r="I842" s="8"/>
      <c r="J842" s="7"/>
      <c r="K842" s="8"/>
      <c r="L842" s="7"/>
      <c r="M842" s="7"/>
      <c r="N842" s="7"/>
      <c r="O842" s="7"/>
      <c r="P842" s="1"/>
      <c r="Q842" s="1"/>
      <c r="R842" s="1"/>
      <c r="S842" s="1"/>
      <c r="T842" s="1"/>
      <c r="U842" s="1"/>
      <c r="V842" s="1"/>
      <c r="W842" s="1">
        <v>0</v>
      </c>
      <c r="X842" s="1">
        <f>15000+4500</f>
        <v>19500</v>
      </c>
      <c r="Y842" s="41">
        <f>X842-W842</f>
        <v>19500</v>
      </c>
      <c r="Z842" s="1">
        <f>W842+Y842</f>
        <v>19500</v>
      </c>
      <c r="AA842" s="67">
        <v>10000</v>
      </c>
      <c r="AB842" s="1">
        <f t="shared" ref="AB842:AB850" si="1041">AA842-Z842</f>
        <v>-9500</v>
      </c>
      <c r="AC842" s="1">
        <f t="shared" ref="AC842:AC850" si="1042">Z842+AB842</f>
        <v>10000</v>
      </c>
      <c r="AD842" s="41">
        <f>75000+10000+5000+9000+6000+10000</f>
        <v>115000</v>
      </c>
      <c r="AE842" s="1">
        <f t="shared" si="527"/>
        <v>105000</v>
      </c>
      <c r="AF842" s="1">
        <f t="shared" si="528"/>
        <v>115000</v>
      </c>
    </row>
    <row r="843" spans="1:32" s="11" customFormat="1">
      <c r="A843" s="42">
        <v>23110</v>
      </c>
      <c r="B843" s="11">
        <v>63200</v>
      </c>
      <c r="C843" s="39" t="s">
        <v>897</v>
      </c>
      <c r="D843" s="8"/>
      <c r="E843" s="8"/>
      <c r="F843" s="8"/>
      <c r="G843" s="8"/>
      <c r="H843" s="8"/>
      <c r="I843" s="8"/>
      <c r="J843" s="8"/>
      <c r="K843" s="8"/>
      <c r="L843" s="10"/>
      <c r="M843" s="10"/>
      <c r="N843" s="7"/>
      <c r="O843" s="7"/>
      <c r="P843" s="3"/>
      <c r="Q843" s="1"/>
      <c r="R843" s="3"/>
      <c r="S843" s="3"/>
      <c r="T843" s="1"/>
      <c r="U843" s="1"/>
      <c r="V843" s="1"/>
      <c r="W843" s="1"/>
      <c r="X843" s="41"/>
      <c r="Y843" s="41"/>
      <c r="Z843" s="1">
        <v>0</v>
      </c>
      <c r="AA843" s="41">
        <v>30000</v>
      </c>
      <c r="AB843" s="41">
        <f t="shared" si="1041"/>
        <v>30000</v>
      </c>
      <c r="AC843" s="1">
        <f t="shared" si="1042"/>
        <v>30000</v>
      </c>
      <c r="AD843" s="41">
        <v>0</v>
      </c>
      <c r="AE843" s="1">
        <f t="shared" si="527"/>
        <v>-30000</v>
      </c>
      <c r="AF843" s="1">
        <f t="shared" si="528"/>
        <v>0</v>
      </c>
    </row>
    <row r="844" spans="1:32">
      <c r="A844" s="42">
        <v>23113</v>
      </c>
      <c r="B844" s="11">
        <v>63200</v>
      </c>
      <c r="C844" s="11" t="s">
        <v>864</v>
      </c>
      <c r="D844" s="7"/>
      <c r="E844" s="7"/>
      <c r="F844" s="7"/>
      <c r="G844" s="7"/>
      <c r="H844" s="7"/>
      <c r="I844" s="7"/>
      <c r="J844" s="7"/>
      <c r="K844" s="7"/>
      <c r="L844" s="7"/>
      <c r="N844" s="7"/>
      <c r="O844" s="7"/>
      <c r="P844" s="7"/>
      <c r="R844" s="7"/>
      <c r="S844" s="7"/>
      <c r="T844" s="1"/>
      <c r="U844" s="7"/>
      <c r="V844" s="1"/>
      <c r="W844" s="1"/>
      <c r="X844" s="7"/>
      <c r="Y844" s="41"/>
      <c r="Z844" s="1">
        <v>0</v>
      </c>
      <c r="AA844" s="7">
        <v>92000</v>
      </c>
      <c r="AB844" s="41">
        <f t="shared" si="1041"/>
        <v>92000</v>
      </c>
      <c r="AC844" s="1">
        <f t="shared" si="1042"/>
        <v>92000</v>
      </c>
      <c r="AD844" s="47">
        <v>104500</v>
      </c>
      <c r="AE844" s="1">
        <f t="shared" si="527"/>
        <v>12500</v>
      </c>
      <c r="AF844" s="1">
        <f t="shared" si="528"/>
        <v>104500</v>
      </c>
    </row>
    <row r="845" spans="1:32" s="11" customFormat="1">
      <c r="A845" s="11">
        <v>32000</v>
      </c>
      <c r="B845" s="11">
        <v>63200</v>
      </c>
      <c r="C845" s="11" t="s">
        <v>894</v>
      </c>
      <c r="D845" s="7"/>
      <c r="E845" s="7"/>
      <c r="F845" s="7"/>
      <c r="G845" s="7"/>
      <c r="H845" s="7"/>
      <c r="I845" s="1"/>
      <c r="J845" s="1"/>
      <c r="K845" s="1"/>
      <c r="L845" s="1"/>
      <c r="M845" s="7"/>
      <c r="N845" s="1"/>
      <c r="O845" s="1"/>
      <c r="P845" s="16"/>
      <c r="Q845" s="1"/>
      <c r="R845" s="3"/>
      <c r="S845" s="16"/>
      <c r="T845" s="1"/>
      <c r="U845" s="1"/>
      <c r="V845" s="1"/>
      <c r="W845" s="1"/>
      <c r="X845" s="41"/>
      <c r="Y845" s="41"/>
      <c r="Z845" s="1">
        <v>0</v>
      </c>
      <c r="AA845" s="41">
        <v>10000</v>
      </c>
      <c r="AB845" s="41">
        <f t="shared" si="1041"/>
        <v>10000</v>
      </c>
      <c r="AC845" s="1">
        <f t="shared" si="1042"/>
        <v>10000</v>
      </c>
      <c r="AD845" s="41">
        <v>40000</v>
      </c>
      <c r="AE845" s="1">
        <f t="shared" si="527"/>
        <v>30000</v>
      </c>
      <c r="AF845" s="1">
        <f t="shared" si="528"/>
        <v>40000</v>
      </c>
    </row>
    <row r="846" spans="1:32">
      <c r="A846" s="11">
        <v>92000</v>
      </c>
      <c r="B846" s="11">
        <v>63200</v>
      </c>
      <c r="C846" s="39" t="s">
        <v>887</v>
      </c>
      <c r="D846" s="7"/>
      <c r="E846" s="7"/>
      <c r="F846" s="7"/>
      <c r="G846" s="7"/>
      <c r="H846" s="7"/>
      <c r="I846" s="1"/>
      <c r="J846" s="1"/>
      <c r="K846" s="1"/>
      <c r="L846" s="1"/>
      <c r="N846" s="1"/>
      <c r="O846" s="1"/>
      <c r="T846" s="1"/>
      <c r="V846" s="1"/>
      <c r="W846" s="1"/>
      <c r="Y846" s="41"/>
      <c r="Z846" s="1">
        <v>0</v>
      </c>
      <c r="AA846" s="1">
        <v>40000</v>
      </c>
      <c r="AB846" s="1">
        <f t="shared" si="1041"/>
        <v>40000</v>
      </c>
      <c r="AC846" s="1">
        <f t="shared" si="1042"/>
        <v>40000</v>
      </c>
      <c r="AD846" s="41">
        <v>24634</v>
      </c>
      <c r="AE846" s="1">
        <f t="shared" si="527"/>
        <v>-15366</v>
      </c>
      <c r="AF846" s="1">
        <f t="shared" si="528"/>
        <v>24634</v>
      </c>
    </row>
    <row r="847" spans="1:32">
      <c r="A847" s="11">
        <v>92010</v>
      </c>
      <c r="B847" s="11">
        <v>63200</v>
      </c>
      <c r="C847" s="11" t="s">
        <v>866</v>
      </c>
      <c r="D847" s="7"/>
      <c r="E847" s="7"/>
      <c r="F847" s="7"/>
      <c r="G847" s="7"/>
      <c r="H847" s="7"/>
      <c r="I847" s="8"/>
      <c r="J847" s="7"/>
      <c r="K847" s="8"/>
      <c r="L847" s="7"/>
      <c r="N847" s="7"/>
      <c r="O847" s="7"/>
      <c r="T847" s="1"/>
      <c r="V847" s="1"/>
      <c r="W847" s="1"/>
      <c r="Y847" s="41"/>
      <c r="Z847" s="1">
        <v>0</v>
      </c>
      <c r="AA847" s="1">
        <v>35000</v>
      </c>
      <c r="AB847" s="1">
        <f t="shared" si="1041"/>
        <v>35000</v>
      </c>
      <c r="AC847" s="1">
        <f t="shared" si="1042"/>
        <v>35000</v>
      </c>
      <c r="AD847" s="41">
        <v>0</v>
      </c>
      <c r="AE847" s="1">
        <f t="shared" si="527"/>
        <v>-35000</v>
      </c>
      <c r="AF847" s="1">
        <f t="shared" si="528"/>
        <v>0</v>
      </c>
    </row>
    <row r="848" spans="1:32">
      <c r="A848" s="11">
        <v>43120</v>
      </c>
      <c r="B848" s="11">
        <v>63900</v>
      </c>
      <c r="C848" s="39" t="s">
        <v>847</v>
      </c>
      <c r="D848" s="7"/>
      <c r="E848" s="8"/>
      <c r="F848" s="7"/>
      <c r="G848" s="10"/>
      <c r="H848" s="7"/>
      <c r="I848" s="8"/>
      <c r="J848" s="7"/>
      <c r="K848" s="8"/>
      <c r="L848" s="7"/>
      <c r="M848" s="10"/>
      <c r="N848" s="7"/>
      <c r="O848" s="7"/>
      <c r="T848" s="1"/>
      <c r="V848" s="1"/>
      <c r="W848" s="1"/>
      <c r="Y848" s="41"/>
      <c r="Z848" s="1">
        <v>0</v>
      </c>
      <c r="AA848" s="1">
        <v>50000</v>
      </c>
      <c r="AB848" s="41">
        <f t="shared" si="1041"/>
        <v>50000</v>
      </c>
      <c r="AC848" s="1">
        <f t="shared" si="1042"/>
        <v>50000</v>
      </c>
      <c r="AD848" s="41">
        <f>40100+32000</f>
        <v>72100</v>
      </c>
      <c r="AE848" s="1">
        <f t="shared" si="527"/>
        <v>22100</v>
      </c>
      <c r="AF848" s="1">
        <f t="shared" si="528"/>
        <v>72100</v>
      </c>
    </row>
    <row r="849" spans="1:32">
      <c r="A849" s="11">
        <v>92600</v>
      </c>
      <c r="B849" s="11">
        <v>64100</v>
      </c>
      <c r="C849" s="39" t="s">
        <v>788</v>
      </c>
      <c r="D849" s="7"/>
      <c r="E849" s="7"/>
      <c r="F849" s="7"/>
      <c r="G849" s="7"/>
      <c r="H849" s="7"/>
      <c r="I849" s="8"/>
      <c r="J849" s="7"/>
      <c r="K849" s="8"/>
      <c r="L849" s="7"/>
      <c r="N849" s="7"/>
      <c r="O849" s="7"/>
      <c r="T849" s="1"/>
      <c r="V849" s="1"/>
      <c r="W849" s="1">
        <v>0</v>
      </c>
      <c r="X849" s="1">
        <v>75000</v>
      </c>
      <c r="Y849" s="41">
        <f>X849-W849</f>
        <v>75000</v>
      </c>
      <c r="Z849" s="1">
        <f>W849+Y849</f>
        <v>75000</v>
      </c>
      <c r="AA849" s="1">
        <v>0</v>
      </c>
      <c r="AB849" s="1">
        <f t="shared" si="1041"/>
        <v>-75000</v>
      </c>
      <c r="AC849" s="1">
        <f t="shared" si="1042"/>
        <v>0</v>
      </c>
      <c r="AD849" s="41">
        <v>25000</v>
      </c>
      <c r="AE849" s="1">
        <f t="shared" si="527"/>
        <v>25000</v>
      </c>
      <c r="AF849" s="1">
        <f t="shared" si="528"/>
        <v>25000</v>
      </c>
    </row>
    <row r="850" spans="1:32" s="2" customFormat="1">
      <c r="A850" s="11">
        <v>15100</v>
      </c>
      <c r="B850" s="11">
        <v>68000</v>
      </c>
      <c r="C850" s="42" t="s">
        <v>851</v>
      </c>
      <c r="D850" s="7"/>
      <c r="E850" s="7"/>
      <c r="F850" s="7"/>
      <c r="G850" s="7"/>
      <c r="H850" s="7"/>
      <c r="I850" s="1"/>
      <c r="J850" s="1"/>
      <c r="K850" s="1"/>
      <c r="L850" s="1"/>
      <c r="M850" s="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41"/>
      <c r="Z850" s="1">
        <v>0</v>
      </c>
      <c r="AA850" s="1">
        <v>75000</v>
      </c>
      <c r="AB850" s="1">
        <f t="shared" si="1041"/>
        <v>75000</v>
      </c>
      <c r="AC850" s="1">
        <f t="shared" si="1042"/>
        <v>75000</v>
      </c>
      <c r="AD850" s="41">
        <v>0</v>
      </c>
      <c r="AE850" s="1">
        <f t="shared" si="527"/>
        <v>-75000</v>
      </c>
      <c r="AF850" s="1">
        <f t="shared" si="528"/>
        <v>0</v>
      </c>
    </row>
    <row r="851" spans="1:32" s="2" customFormat="1" outlineLevel="1">
      <c r="A851" s="11">
        <v>15100</v>
      </c>
      <c r="B851" s="11">
        <v>68900</v>
      </c>
      <c r="C851" s="42" t="s">
        <v>579</v>
      </c>
      <c r="D851" s="7"/>
      <c r="E851" s="7"/>
      <c r="F851" s="7"/>
      <c r="G851" s="7"/>
      <c r="H851" s="7"/>
      <c r="I851" s="1"/>
      <c r="J851" s="1"/>
      <c r="K851" s="1"/>
      <c r="L851" s="1"/>
      <c r="M851" s="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41"/>
      <c r="Z851" s="1"/>
      <c r="AA851" s="1"/>
      <c r="AB851" s="1"/>
      <c r="AC851" s="1">
        <v>0</v>
      </c>
      <c r="AD851" s="41">
        <f>2300000-861420.96</f>
        <v>1438579.04</v>
      </c>
      <c r="AE851" s="1">
        <f t="shared" si="527"/>
        <v>1438579.04</v>
      </c>
      <c r="AF851" s="1">
        <f t="shared" si="528"/>
        <v>1438579.04</v>
      </c>
    </row>
    <row r="852" spans="1:32" s="2" customFormat="1" outlineLevel="1">
      <c r="A852" s="73"/>
      <c r="B852" s="73"/>
      <c r="C852" s="71" t="s">
        <v>873</v>
      </c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>
        <f>SUM(AC807:AC851)</f>
        <v>2563365.9</v>
      </c>
      <c r="AD852" s="72">
        <f t="shared" ref="AD852:AF852" si="1043">SUM(AD807:AD851)</f>
        <v>3800744.7</v>
      </c>
      <c r="AE852" s="72">
        <f t="shared" si="1043"/>
        <v>1237378.7999999998</v>
      </c>
      <c r="AF852" s="72">
        <f t="shared" si="1043"/>
        <v>3800744.7</v>
      </c>
    </row>
    <row r="853" spans="1:32">
      <c r="A853" s="11">
        <v>91200</v>
      </c>
      <c r="B853" s="11">
        <v>75000</v>
      </c>
      <c r="C853" s="11" t="s">
        <v>627</v>
      </c>
      <c r="D853" s="7"/>
      <c r="E853" s="7"/>
      <c r="F853" s="7"/>
      <c r="G853" s="7"/>
      <c r="H853" s="7">
        <v>0</v>
      </c>
      <c r="I853" s="10">
        <v>1140000</v>
      </c>
      <c r="J853" s="7">
        <f>H853-I853</f>
        <v>-1140000</v>
      </c>
      <c r="K853" s="10">
        <v>1140000</v>
      </c>
      <c r="L853" s="7">
        <f>H853+K853</f>
        <v>1140000</v>
      </c>
      <c r="M853" s="7">
        <v>-1140000</v>
      </c>
      <c r="N853" s="7">
        <f>L853+M853</f>
        <v>0</v>
      </c>
      <c r="O853" s="7"/>
      <c r="P853" s="7"/>
      <c r="Q853" s="1">
        <f>N853+P853</f>
        <v>0</v>
      </c>
      <c r="R853" s="7"/>
      <c r="S853" s="7"/>
      <c r="T853" s="1">
        <f>Q853+S853</f>
        <v>0</v>
      </c>
      <c r="U853" s="7"/>
      <c r="V853" s="1">
        <f>U853-T853</f>
        <v>0</v>
      </c>
      <c r="W853" s="1">
        <f>T853+V853</f>
        <v>0</v>
      </c>
      <c r="X853" s="7">
        <v>0</v>
      </c>
      <c r="Y853" s="41">
        <f>X853-W853</f>
        <v>0</v>
      </c>
      <c r="Z853" s="1">
        <f>W853+Y853</f>
        <v>0</v>
      </c>
      <c r="AA853" s="7">
        <v>0</v>
      </c>
      <c r="AB853" s="1">
        <f>AA853-Z853</f>
        <v>0</v>
      </c>
      <c r="AC853" s="1">
        <f>Z853+AB853</f>
        <v>0</v>
      </c>
      <c r="AD853" s="47">
        <v>0</v>
      </c>
      <c r="AE853" s="1">
        <f t="shared" ref="AE853:AE861" si="1044">AD853-AC853</f>
        <v>0</v>
      </c>
      <c r="AF853" s="1">
        <f t="shared" ref="AF853:AF861" si="1045">AC853+AE853</f>
        <v>0</v>
      </c>
    </row>
    <row r="854" spans="1:32" s="2" customFormat="1" outlineLevel="1">
      <c r="A854" s="11">
        <v>43120</v>
      </c>
      <c r="B854" s="11">
        <v>75500</v>
      </c>
      <c r="C854" s="39" t="s">
        <v>731</v>
      </c>
      <c r="D854" s="7"/>
      <c r="E854" s="8"/>
      <c r="F854" s="7"/>
      <c r="G854" s="10"/>
      <c r="H854" s="7"/>
      <c r="I854" s="8"/>
      <c r="J854" s="7"/>
      <c r="K854" s="8"/>
      <c r="L854" s="7"/>
      <c r="M854" s="10"/>
      <c r="N854" s="7"/>
      <c r="O854" s="7"/>
      <c r="P854" s="1"/>
      <c r="Q854" s="1"/>
      <c r="R854" s="1"/>
      <c r="S854" s="1"/>
      <c r="T854" s="1">
        <v>0</v>
      </c>
      <c r="U854" s="1">
        <v>52500</v>
      </c>
      <c r="V854" s="1">
        <f>U854-T854</f>
        <v>52500</v>
      </c>
      <c r="W854" s="1">
        <f>T854+V854</f>
        <v>52500</v>
      </c>
      <c r="X854" s="1">
        <v>0</v>
      </c>
      <c r="Y854" s="41">
        <f>X854-W854</f>
        <v>-52500</v>
      </c>
      <c r="Z854" s="1">
        <f>W854+Y854</f>
        <v>0</v>
      </c>
      <c r="AA854" s="1">
        <v>0</v>
      </c>
      <c r="AB854" s="41">
        <f>AA854-Z854</f>
        <v>0</v>
      </c>
      <c r="AC854" s="1">
        <f>Z854+AB854</f>
        <v>0</v>
      </c>
      <c r="AD854" s="41">
        <v>0</v>
      </c>
      <c r="AE854" s="1">
        <f t="shared" si="1044"/>
        <v>0</v>
      </c>
      <c r="AF854" s="1">
        <f t="shared" si="1045"/>
        <v>0</v>
      </c>
    </row>
    <row r="855" spans="1:32">
      <c r="A855" s="11">
        <v>15100</v>
      </c>
      <c r="B855" s="11">
        <v>76100</v>
      </c>
      <c r="C855" s="39" t="s">
        <v>731</v>
      </c>
      <c r="D855" s="7"/>
      <c r="E855" s="7"/>
      <c r="F855" s="7"/>
      <c r="G855" s="7"/>
      <c r="H855" s="7"/>
      <c r="I855" s="1"/>
      <c r="J855" s="1"/>
      <c r="K855" s="1"/>
      <c r="L855" s="1"/>
      <c r="N855" s="1"/>
      <c r="O855" s="1"/>
      <c r="T855" s="1"/>
      <c r="V855" s="1"/>
      <c r="W855" s="1">
        <v>0</v>
      </c>
      <c r="X855" s="1">
        <v>52500</v>
      </c>
      <c r="Y855" s="41">
        <f>X855-W855</f>
        <v>52500</v>
      </c>
      <c r="Z855" s="1">
        <f>W855+Y855</f>
        <v>52500</v>
      </c>
      <c r="AA855" s="1">
        <v>4338</v>
      </c>
      <c r="AB855" s="1">
        <f>AA855-Z855</f>
        <v>-48162</v>
      </c>
      <c r="AC855" s="1">
        <f>Z855+AB855</f>
        <v>4338</v>
      </c>
      <c r="AD855" s="41">
        <f>AC855-2581.31</f>
        <v>1756.69</v>
      </c>
      <c r="AE855" s="1">
        <f t="shared" si="1044"/>
        <v>-2581.31</v>
      </c>
      <c r="AF855" s="1">
        <f t="shared" si="1045"/>
        <v>1756.69</v>
      </c>
    </row>
    <row r="856" spans="1:32">
      <c r="A856" s="11">
        <v>15320</v>
      </c>
      <c r="B856" s="11">
        <v>76100</v>
      </c>
      <c r="C856" s="39" t="s">
        <v>731</v>
      </c>
      <c r="D856" s="7"/>
      <c r="E856" s="7"/>
      <c r="F856" s="7"/>
      <c r="G856" s="7"/>
      <c r="H856" s="7"/>
      <c r="I856" s="1"/>
      <c r="J856" s="1"/>
      <c r="K856" s="1"/>
      <c r="L856" s="1"/>
      <c r="N856" s="1"/>
      <c r="O856" s="1"/>
      <c r="T856" s="1">
        <v>0</v>
      </c>
      <c r="U856" s="1">
        <f>538.46</f>
        <v>538.46</v>
      </c>
      <c r="V856" s="1">
        <f>U856-T856</f>
        <v>538.46</v>
      </c>
      <c r="W856" s="1">
        <f>T856+V856</f>
        <v>538.46</v>
      </c>
      <c r="X856" s="1">
        <v>274211.53999999998</v>
      </c>
      <c r="Y856" s="41">
        <f>X856-W856</f>
        <v>273673.07999999996</v>
      </c>
      <c r="Z856" s="1">
        <f>W856+Y856</f>
        <v>274211.53999999998</v>
      </c>
      <c r="AA856" s="1">
        <v>274211.53999999998</v>
      </c>
      <c r="AB856" s="1">
        <f>AA856-Z856</f>
        <v>0</v>
      </c>
      <c r="AC856" s="1">
        <f>Z856+AB856</f>
        <v>274211.53999999998</v>
      </c>
      <c r="AD856" s="41">
        <f>224933-906.13</f>
        <v>224026.87</v>
      </c>
      <c r="AE856" s="1">
        <f t="shared" si="1044"/>
        <v>-50184.669999999984</v>
      </c>
      <c r="AF856" s="1">
        <f t="shared" si="1045"/>
        <v>224026.87</v>
      </c>
    </row>
    <row r="857" spans="1:32" s="2" customFormat="1">
      <c r="A857" s="42">
        <v>17000</v>
      </c>
      <c r="B857" s="11">
        <v>76100</v>
      </c>
      <c r="C857" s="39" t="s">
        <v>912</v>
      </c>
      <c r="D857" s="7"/>
      <c r="E857" s="7"/>
      <c r="F857" s="7"/>
      <c r="G857" s="7"/>
      <c r="H857" s="7"/>
      <c r="I857" s="1"/>
      <c r="J857" s="1"/>
      <c r="K857" s="1"/>
      <c r="L857" s="1"/>
      <c r="M857" s="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41"/>
      <c r="Z857" s="1"/>
      <c r="AA857" s="1"/>
      <c r="AB857" s="1"/>
      <c r="AC857" s="1">
        <v>0</v>
      </c>
      <c r="AD857" s="41">
        <v>27036.57</v>
      </c>
      <c r="AE857" s="1">
        <f t="shared" si="1044"/>
        <v>27036.57</v>
      </c>
      <c r="AF857" s="1">
        <f t="shared" si="1045"/>
        <v>27036.57</v>
      </c>
    </row>
    <row r="858" spans="1:32" s="9" customFormat="1">
      <c r="A858" s="11">
        <v>15100</v>
      </c>
      <c r="B858" s="11">
        <v>76200</v>
      </c>
      <c r="C858" s="39" t="s">
        <v>933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47"/>
      <c r="Z858" s="7"/>
      <c r="AA858" s="7"/>
      <c r="AB858" s="7"/>
      <c r="AC858" s="7">
        <v>0</v>
      </c>
      <c r="AD858" s="47">
        <v>0</v>
      </c>
      <c r="AE858" s="7">
        <f t="shared" si="1044"/>
        <v>0</v>
      </c>
      <c r="AF858" s="7">
        <f t="shared" si="1045"/>
        <v>0</v>
      </c>
    </row>
    <row r="859" spans="1:32" s="2" customFormat="1">
      <c r="A859" s="11">
        <v>24100</v>
      </c>
      <c r="B859" s="11">
        <v>76700</v>
      </c>
      <c r="C859" s="11" t="s">
        <v>339</v>
      </c>
      <c r="D859" s="7">
        <v>10000</v>
      </c>
      <c r="E859" s="7">
        <v>9000</v>
      </c>
      <c r="F859" s="7">
        <f>D859-E859</f>
        <v>1000</v>
      </c>
      <c r="G859" s="7">
        <v>-1000</v>
      </c>
      <c r="H859" s="7">
        <f>D859+G859</f>
        <v>9000</v>
      </c>
      <c r="I859" s="1">
        <v>6000</v>
      </c>
      <c r="J859" s="1">
        <f>H859-I859</f>
        <v>3000</v>
      </c>
      <c r="K859" s="1">
        <v>-3000</v>
      </c>
      <c r="L859" s="1">
        <f>H859+K859</f>
        <v>6000</v>
      </c>
      <c r="M859" s="7">
        <v>0</v>
      </c>
      <c r="N859" s="1">
        <f>L859+M859</f>
        <v>6000</v>
      </c>
      <c r="O859" s="1"/>
      <c r="P859" s="16">
        <f>2500-N859</f>
        <v>-3500</v>
      </c>
      <c r="Q859" s="1">
        <f>N859+P859</f>
        <v>2500</v>
      </c>
      <c r="R859" s="3"/>
      <c r="S859" s="16"/>
      <c r="T859" s="1">
        <f>Q859+S859</f>
        <v>2500</v>
      </c>
      <c r="U859" s="41">
        <v>200</v>
      </c>
      <c r="V859" s="1">
        <f>U859-T859</f>
        <v>-2300</v>
      </c>
      <c r="W859" s="1">
        <f>T859+V859</f>
        <v>200</v>
      </c>
      <c r="X859" s="41">
        <v>1000</v>
      </c>
      <c r="Y859" s="41">
        <f>X859-W859</f>
        <v>800</v>
      </c>
      <c r="Z859" s="1">
        <f>W859+Y859</f>
        <v>1000</v>
      </c>
      <c r="AA859" s="41">
        <v>1000</v>
      </c>
      <c r="AB859" s="1">
        <f>AA859-Z859</f>
        <v>0</v>
      </c>
      <c r="AC859" s="1">
        <f>Z859+AB859</f>
        <v>1000</v>
      </c>
      <c r="AD859" s="41">
        <v>1000</v>
      </c>
      <c r="AE859" s="1">
        <f t="shared" si="1044"/>
        <v>0</v>
      </c>
      <c r="AF859" s="1">
        <f t="shared" si="1045"/>
        <v>1000</v>
      </c>
    </row>
    <row r="860" spans="1:32" s="2" customFormat="1">
      <c r="A860" s="11">
        <v>92000</v>
      </c>
      <c r="B860" s="11">
        <v>76800</v>
      </c>
      <c r="C860" s="11" t="s">
        <v>262</v>
      </c>
      <c r="D860" s="7">
        <v>5600.44</v>
      </c>
      <c r="E860" s="7">
        <v>0</v>
      </c>
      <c r="F860" s="7">
        <f>D860-E860</f>
        <v>5600.44</v>
      </c>
      <c r="G860" s="10">
        <v>-5600.44</v>
      </c>
      <c r="H860" s="7">
        <f>D860+G860</f>
        <v>0</v>
      </c>
      <c r="I860" s="1"/>
      <c r="J860" s="1">
        <f>H860-I860</f>
        <v>0</v>
      </c>
      <c r="K860" s="1"/>
      <c r="L860" s="1">
        <f>H860+K860</f>
        <v>0</v>
      </c>
      <c r="M860" s="7"/>
      <c r="N860" s="1">
        <f>L860+M860</f>
        <v>0</v>
      </c>
      <c r="O860" s="1"/>
      <c r="P860" s="1"/>
      <c r="Q860" s="1">
        <f>N860+P860</f>
        <v>0</v>
      </c>
      <c r="R860" s="1"/>
      <c r="S860" s="1"/>
      <c r="T860" s="1">
        <f>Q860+S860</f>
        <v>0</v>
      </c>
      <c r="U860" s="54">
        <f>R860+T860</f>
        <v>0</v>
      </c>
      <c r="V860" s="1">
        <f>U860-T860</f>
        <v>0</v>
      </c>
      <c r="W860" s="1">
        <f>T860+V860</f>
        <v>0</v>
      </c>
      <c r="X860" s="1">
        <v>0</v>
      </c>
      <c r="Y860" s="41">
        <f>X860-W860</f>
        <v>0</v>
      </c>
      <c r="Z860" s="1">
        <f>W860+Y860</f>
        <v>0</v>
      </c>
      <c r="AA860" s="1">
        <v>24342</v>
      </c>
      <c r="AB860" s="1">
        <f>AA860-Z860</f>
        <v>24342</v>
      </c>
      <c r="AC860" s="1">
        <f>Z860+AB860</f>
        <v>24342</v>
      </c>
      <c r="AD860" s="41">
        <v>0</v>
      </c>
      <c r="AE860" s="1">
        <f t="shared" si="1044"/>
        <v>-24342</v>
      </c>
      <c r="AF860" s="1">
        <f t="shared" si="1045"/>
        <v>0</v>
      </c>
    </row>
    <row r="861" spans="1:32" s="2" customFormat="1">
      <c r="A861" s="11">
        <v>92000</v>
      </c>
      <c r="B861" s="11">
        <v>76801</v>
      </c>
      <c r="C861" s="11" t="s">
        <v>263</v>
      </c>
      <c r="D861" s="7">
        <v>40000</v>
      </c>
      <c r="E861" s="7">
        <v>0</v>
      </c>
      <c r="F861" s="7">
        <f>D861-E861</f>
        <v>40000</v>
      </c>
      <c r="G861" s="7">
        <v>-40000</v>
      </c>
      <c r="H861" s="7">
        <f>D861+G861</f>
        <v>0</v>
      </c>
      <c r="I861" s="3"/>
      <c r="J861" s="1">
        <f>H861-I861</f>
        <v>0</v>
      </c>
      <c r="K861" s="3"/>
      <c r="L861" s="1">
        <f>H861+K861</f>
        <v>0</v>
      </c>
      <c r="M861" s="7">
        <v>13611.96</v>
      </c>
      <c r="N861" s="1">
        <f>L861+M861</f>
        <v>13611.96</v>
      </c>
      <c r="O861" s="1"/>
      <c r="P861" s="1"/>
      <c r="Q861" s="1">
        <f>N861+P861</f>
        <v>13611.96</v>
      </c>
      <c r="R861" s="1">
        <v>27000</v>
      </c>
      <c r="S861" s="1">
        <f>R861-Q861</f>
        <v>13388.04</v>
      </c>
      <c r="T861" s="1">
        <f>Q861+S861</f>
        <v>27000</v>
      </c>
      <c r="U861" s="54">
        <v>25000</v>
      </c>
      <c r="V861" s="1">
        <f>U861-T861</f>
        <v>-2000</v>
      </c>
      <c r="W861" s="1">
        <f>T861+V861</f>
        <v>25000</v>
      </c>
      <c r="X861" s="1">
        <v>25000</v>
      </c>
      <c r="Y861" s="41">
        <f>X861-W861</f>
        <v>0</v>
      </c>
      <c r="Z861" s="1">
        <f>W861+Y861</f>
        <v>25000</v>
      </c>
      <c r="AA861" s="1">
        <v>60000</v>
      </c>
      <c r="AB861" s="1">
        <f>AA861-Z861</f>
        <v>35000</v>
      </c>
      <c r="AC861" s="1">
        <f>Z861+AB861</f>
        <v>60000</v>
      </c>
      <c r="AD861" s="41">
        <v>90000</v>
      </c>
      <c r="AE861" s="1">
        <f t="shared" si="1044"/>
        <v>30000</v>
      </c>
      <c r="AF861" s="1">
        <f t="shared" si="1045"/>
        <v>90000</v>
      </c>
    </row>
    <row r="862" spans="1:32" s="2" customFormat="1">
      <c r="A862" s="71"/>
      <c r="B862" s="71"/>
      <c r="C862" s="71" t="s">
        <v>874</v>
      </c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>
        <f>SUM(AC853:AC861)</f>
        <v>363891.54</v>
      </c>
      <c r="AD862" s="72">
        <f t="shared" ref="AD862:AF862" si="1046">SUM(AD853:AD861)</f>
        <v>343820.13</v>
      </c>
      <c r="AE862" s="72">
        <f t="shared" si="1046"/>
        <v>-20071.409999999982</v>
      </c>
      <c r="AF862" s="72">
        <f t="shared" si="1046"/>
        <v>343820.13</v>
      </c>
    </row>
    <row r="863" spans="1:32">
      <c r="A863" s="11">
        <v>1100</v>
      </c>
      <c r="B863" s="11">
        <v>91300</v>
      </c>
      <c r="C863" s="11" t="s">
        <v>226</v>
      </c>
      <c r="D863" s="7">
        <v>3304510.16</v>
      </c>
      <c r="E863" s="7">
        <v>2974554.39</v>
      </c>
      <c r="F863" s="7">
        <f>D863-E863</f>
        <v>329955.77</v>
      </c>
      <c r="G863" s="7">
        <v>-329955.77</v>
      </c>
      <c r="H863" s="7">
        <f>D863+G863</f>
        <v>2974554.39</v>
      </c>
      <c r="I863" s="7">
        <v>2409501.27</v>
      </c>
      <c r="J863" s="1">
        <f>H863-I863</f>
        <v>565053.12000000011</v>
      </c>
      <c r="K863" s="1">
        <v>-565053.12</v>
      </c>
      <c r="L863" s="1">
        <f>H863+K863</f>
        <v>2409501.27</v>
      </c>
      <c r="M863" s="7">
        <f>3527825.92-L863</f>
        <v>1118324.6499999999</v>
      </c>
      <c r="N863" s="1">
        <f>L863+M863</f>
        <v>3527825.92</v>
      </c>
      <c r="O863" s="1"/>
      <c r="P863" s="1">
        <f>4209000-N863</f>
        <v>681174.08000000007</v>
      </c>
      <c r="Q863" s="1">
        <f>N863+P863</f>
        <v>4209000</v>
      </c>
      <c r="R863" s="1">
        <v>2813390</v>
      </c>
      <c r="S863" s="1">
        <f>R863-Q863</f>
        <v>-1395610</v>
      </c>
      <c r="T863" s="1">
        <f>Q863+S863</f>
        <v>2813390</v>
      </c>
      <c r="U863" s="1">
        <v>3205000</v>
      </c>
      <c r="V863" s="1">
        <f>U863-T863</f>
        <v>391610</v>
      </c>
      <c r="W863" s="1">
        <f>T863+V863</f>
        <v>3205000</v>
      </c>
      <c r="X863" s="1">
        <v>3630000</v>
      </c>
      <c r="Y863" s="41">
        <f>X863-W863</f>
        <v>425000</v>
      </c>
      <c r="Z863" s="1">
        <f>W863+Y863</f>
        <v>3630000</v>
      </c>
      <c r="AA863" s="1">
        <v>3645000</v>
      </c>
      <c r="AB863" s="1">
        <f>AA863-Z863</f>
        <v>15000</v>
      </c>
      <c r="AC863" s="1">
        <f>Z863+AB863</f>
        <v>3645000</v>
      </c>
      <c r="AD863" s="41">
        <v>3945000</v>
      </c>
      <c r="AE863" s="1">
        <f>AD863-AC863</f>
        <v>300000</v>
      </c>
      <c r="AF863" s="1">
        <f>AC863+AE863</f>
        <v>3945000</v>
      </c>
    </row>
    <row r="864" spans="1:32">
      <c r="A864" s="71"/>
      <c r="B864" s="71"/>
      <c r="C864" s="71" t="s">
        <v>875</v>
      </c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>
        <f>SUM(AC863)</f>
        <v>3645000</v>
      </c>
      <c r="AD864" s="72">
        <f t="shared" ref="AD864:AF864" si="1047">SUM(AD863)</f>
        <v>3945000</v>
      </c>
      <c r="AE864" s="72">
        <f t="shared" si="1047"/>
        <v>300000</v>
      </c>
      <c r="AF864" s="72">
        <f t="shared" si="1047"/>
        <v>3945000</v>
      </c>
    </row>
    <row r="865" spans="1:32">
      <c r="A865" s="70" t="s">
        <v>61</v>
      </c>
      <c r="B865" s="74"/>
      <c r="C865" s="74"/>
      <c r="D865" s="75">
        <f t="shared" ref="D865:AB865" si="1048">SUBTOTAL(9,D2:D863)</f>
        <v>39612192.550000012</v>
      </c>
      <c r="E865" s="75">
        <f t="shared" si="1048"/>
        <v>29546422.761379309</v>
      </c>
      <c r="F865" s="75">
        <f t="shared" si="1048"/>
        <v>10065769.788620686</v>
      </c>
      <c r="G865" s="75">
        <f t="shared" si="1048"/>
        <v>1612838.2299999997</v>
      </c>
      <c r="H865" s="75">
        <f t="shared" si="1048"/>
        <v>41225030.780000009</v>
      </c>
      <c r="I865" s="75">
        <f t="shared" si="1048"/>
        <v>31483868.720000003</v>
      </c>
      <c r="J865" s="75">
        <f t="shared" si="1048"/>
        <v>9741162.0599999987</v>
      </c>
      <c r="K865" s="75">
        <f t="shared" si="1048"/>
        <v>805253.67999999959</v>
      </c>
      <c r="L865" s="75">
        <f t="shared" si="1048"/>
        <v>43414640.930000007</v>
      </c>
      <c r="M865" s="75">
        <f t="shared" si="1048"/>
        <v>843546.86000000057</v>
      </c>
      <c r="N865" s="75">
        <f t="shared" si="1048"/>
        <v>44138687.790000014</v>
      </c>
      <c r="O865" s="75">
        <f t="shared" si="1048"/>
        <v>16823458.719999999</v>
      </c>
      <c r="P865" s="75">
        <f t="shared" si="1048"/>
        <v>1733755.87</v>
      </c>
      <c r="Q865" s="75">
        <f t="shared" si="1048"/>
        <v>45672443.660000004</v>
      </c>
      <c r="R865" s="75">
        <f t="shared" si="1048"/>
        <v>26442526.414999999</v>
      </c>
      <c r="S865" s="75">
        <f t="shared" si="1048"/>
        <v>-1332792.7799999998</v>
      </c>
      <c r="T865" s="75">
        <f t="shared" si="1048"/>
        <v>44360147.610000014</v>
      </c>
      <c r="U865" s="75">
        <f t="shared" si="1048"/>
        <v>47646506.440000005</v>
      </c>
      <c r="V865" s="75">
        <f t="shared" si="1048"/>
        <v>3286358.8299999973</v>
      </c>
      <c r="W865" s="75">
        <f t="shared" si="1048"/>
        <v>47046506.440000005</v>
      </c>
      <c r="X865" s="75">
        <f t="shared" si="1048"/>
        <v>48959897.762999989</v>
      </c>
      <c r="Y865" s="75">
        <f t="shared" si="1048"/>
        <v>1913391.3230000017</v>
      </c>
      <c r="Z865" s="75">
        <f t="shared" si="1048"/>
        <v>49058969.04299999</v>
      </c>
      <c r="AA865" s="75">
        <f t="shared" si="1048"/>
        <v>51810355.760000005</v>
      </c>
      <c r="AB865" s="75">
        <f t="shared" si="1048"/>
        <v>2746423.4369999999</v>
      </c>
      <c r="AC865" s="75">
        <f>AC324+AC745+AC750+AC804+AC806+AC852+AC862+AC864</f>
        <v>51905695.010000005</v>
      </c>
      <c r="AD865" s="75">
        <f>AD324+AD745+AD750+AD804+AD806+AD852+AD862+AD864</f>
        <v>53002605.541800015</v>
      </c>
      <c r="AE865" s="75">
        <f>AE324+AE745+AE750+AE804+AE806+AE852+AE862+AE864</f>
        <v>1096910.5318000002</v>
      </c>
      <c r="AF865" s="75">
        <f>AF324+AF745+AF750+AF804+AF806+AF852+AF862+AF864</f>
        <v>53002605.541800015</v>
      </c>
    </row>
  </sheetData>
  <sortState ref="A2:AF1044">
    <sortCondition ref="B2:B1044"/>
    <sortCondition ref="A2:A1044"/>
  </sortState>
  <customSheetViews>
    <customSheetView guid="{4A056693-7DCB-4AEF-AE29-22F0297A0964}" showPageBreaks="1" hiddenColumns="1" view="pageLayout" topLeftCell="A313">
      <selection activeCell="T332" sqref="T33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&amp;C&amp;"Arial,Negrita"PRESUPUESTO 2.015
&amp;R&amp;P</oddHead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&amp;C&amp;"Arial,Negrita"PRESUPUESTO 2.018
&amp;R&amp;P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pingresos2018</vt:lpstr>
      <vt:lpstr>RESUMEN 2018</vt:lpstr>
      <vt:lpstr>proggastos 2018</vt:lpstr>
      <vt:lpstr>ecgastos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CBaeza</dc:creator>
  <cp:lastModifiedBy>Constantino Baeza</cp:lastModifiedBy>
  <cp:lastPrinted>2018-03-13T11:39:09Z</cp:lastPrinted>
  <dcterms:created xsi:type="dcterms:W3CDTF">2009-10-02T10:03:14Z</dcterms:created>
  <dcterms:modified xsi:type="dcterms:W3CDTF">2018-03-15T12:27:41Z</dcterms:modified>
</cp:coreProperties>
</file>